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026"/>
  <workbookPr/>
  <mc:AlternateContent xmlns:mc="http://schemas.openxmlformats.org/markup-compatibility/2006">
    <mc:Choice Requires="x15">
      <x15ac:absPath xmlns:x15ac="http://schemas.microsoft.com/office/spreadsheetml/2010/11/ac" url="https://universityofsouthwales-my.sharepoint.com/personal/maria_ramossuarez_southwales_ac_uk/Documents/000 UNIVERSITY OF SOUTHAMPTON ONE DRIVE FILES/PhD submission paperwork/DATA Maria Ramos Suarez Thesis - PhD Environmental Engineering - WEEG - 12092022/"/>
    </mc:Choice>
  </mc:AlternateContent>
  <xr:revisionPtr revIDLastSave="1707" documentId="8_{8DBCE052-A0E8-4379-8FFC-34C6203638B8}" xr6:coauthVersionLast="47" xr6:coauthVersionMax="47" xr10:uidLastSave="{ED8A585D-E1D4-4BA2-ABA3-B329B4C4BE08}"/>
  <bookViews>
    <workbookView xWindow="-108" yWindow="-108" windowWidth="23256" windowHeight="12576" activeTab="4" xr2:uid="{00000000-000D-0000-FFFF-FFFF00000000}"/>
  </bookViews>
  <sheets>
    <sheet name="Fermenter and heat exchanger" sheetId="1" r:id="rId1"/>
    <sheet name="Pumps and pre-mixer" sheetId="2" r:id="rId2"/>
    <sheet name="cap cost" sheetId="4" r:id="rId3"/>
    <sheet name="total Costs" sheetId="3" r:id="rId4"/>
    <sheet name="NPV vs VFA price" sheetId="6" r:id="rId5"/>
    <sheet name="Flowrate recirc" sheetId="5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Q9" i="3" l="1"/>
  <c r="Q29" i="3"/>
  <c r="P29" i="3"/>
  <c r="Q11" i="3"/>
  <c r="N13" i="3"/>
  <c r="Q13" i="3" s="1"/>
  <c r="Q12" i="3"/>
  <c r="Q8" i="3"/>
  <c r="L30" i="3"/>
  <c r="G6" i="1"/>
  <c r="K4" i="2" s="1"/>
  <c r="K8" i="2" s="1"/>
  <c r="L34" i="3"/>
  <c r="T13" i="3" l="1"/>
  <c r="C8" i="3"/>
  <c r="L8" i="3"/>
  <c r="C11" i="3"/>
  <c r="G16" i="2"/>
  <c r="N12" i="3"/>
  <c r="L40" i="1"/>
  <c r="L36" i="1"/>
  <c r="L19" i="1"/>
  <c r="L10" i="1"/>
  <c r="B3" i="1" l="1"/>
  <c r="G8" i="1" s="1"/>
  <c r="B3" i="5" s="1"/>
  <c r="B4" i="5" l="1"/>
  <c r="B5" i="5" s="1"/>
  <c r="G11" i="1"/>
  <c r="G12" i="1" s="1"/>
  <c r="G7" i="1"/>
  <c r="L37" i="1" s="1"/>
  <c r="B6" i="1"/>
  <c r="N11" i="3"/>
  <c r="G15" i="1" l="1"/>
  <c r="G29" i="1"/>
  <c r="G33" i="1" s="1"/>
  <c r="L25" i="1"/>
  <c r="L38" i="1"/>
  <c r="G17" i="1"/>
  <c r="G16" i="1"/>
  <c r="Q7" i="3"/>
  <c r="N10" i="3"/>
  <c r="N6" i="3"/>
  <c r="L11" i="1" l="1"/>
  <c r="L15" i="1" s="1"/>
  <c r="C6" i="2"/>
  <c r="G6" i="2"/>
  <c r="Q6" i="3"/>
  <c r="C16" i="2" l="1"/>
  <c r="K16" i="2"/>
  <c r="C3" i="2"/>
  <c r="C4" i="2" s="1"/>
  <c r="C8" i="2" l="1"/>
  <c r="C21" i="2"/>
  <c r="C25" i="2" s="1"/>
  <c r="C10" i="3"/>
  <c r="C9" i="3"/>
  <c r="L60" i="1" l="1"/>
  <c r="G25" i="1"/>
  <c r="L52" i="1"/>
  <c r="G3" i="2" l="1"/>
  <c r="L31" i="3"/>
  <c r="L32" i="3" s="1"/>
  <c r="L36" i="3" s="1"/>
  <c r="G21" i="2" l="1"/>
  <c r="G25" i="2" s="1"/>
  <c r="G8" i="2"/>
  <c r="G9" i="1"/>
  <c r="K5" i="2"/>
  <c r="K21" i="2"/>
  <c r="K25" i="2" s="1"/>
  <c r="B3" i="4" s="1"/>
  <c r="G4" i="2"/>
  <c r="B7" i="4" l="1"/>
  <c r="B16" i="4"/>
  <c r="G13" i="1"/>
  <c r="L17" i="1" l="1"/>
  <c r="L18" i="1" s="1"/>
  <c r="L27" i="1" s="1"/>
  <c r="Q10" i="3" l="1"/>
  <c r="Q14" i="3" s="1"/>
  <c r="S13" i="3" s="1"/>
  <c r="L44" i="1"/>
  <c r="S11" i="3" l="1"/>
  <c r="L64" i="1"/>
  <c r="L67" i="1" s="1"/>
  <c r="L45" i="1"/>
  <c r="S7" i="3" l="1"/>
  <c r="S12" i="3"/>
  <c r="S9" i="3"/>
  <c r="S8" i="3"/>
  <c r="S10" i="3"/>
  <c r="B6" i="4"/>
  <c r="B13" i="4" s="1"/>
  <c r="B10" i="4"/>
  <c r="B17" i="4"/>
  <c r="B18" i="4"/>
  <c r="B9" i="4"/>
  <c r="B20" i="4"/>
  <c r="B19" i="4"/>
  <c r="B11" i="4"/>
  <c r="B8" i="4"/>
  <c r="B22" i="4" l="1"/>
  <c r="B2" i="3" s="1"/>
  <c r="C7" i="3" s="1"/>
  <c r="B1" i="3"/>
  <c r="B3" i="3" l="1"/>
  <c r="C12" i="3"/>
  <c r="C13" i="3"/>
  <c r="C14" i="3"/>
  <c r="C15" i="3"/>
  <c r="B27" i="3" l="1"/>
  <c r="D27" i="3" s="1"/>
  <c r="B28" i="3"/>
  <c r="C16" i="3"/>
  <c r="C18" i="3" l="1"/>
  <c r="C19" i="3" s="1"/>
  <c r="B29" i="3" s="1"/>
  <c r="E10" i="3"/>
  <c r="E8" i="3"/>
  <c r="E9" i="3"/>
  <c r="E11" i="3"/>
  <c r="E7" i="3"/>
  <c r="D28" i="3"/>
  <c r="E12" i="3"/>
  <c r="E13" i="3"/>
  <c r="E14" i="3"/>
  <c r="E15" i="3"/>
  <c r="B36" i="3" l="1"/>
  <c r="B44" i="3"/>
  <c r="B52" i="3"/>
  <c r="B43" i="3"/>
  <c r="B37" i="3"/>
  <c r="B45" i="3"/>
  <c r="B53" i="3"/>
  <c r="B50" i="3"/>
  <c r="B30" i="3"/>
  <c r="B38" i="3"/>
  <c r="B46" i="3"/>
  <c r="D29" i="3"/>
  <c r="B40" i="3"/>
  <c r="B51" i="3"/>
  <c r="B31" i="3"/>
  <c r="B39" i="3"/>
  <c r="B47" i="3"/>
  <c r="B48" i="3"/>
  <c r="B32" i="3"/>
  <c r="B33" i="3"/>
  <c r="B41" i="3"/>
  <c r="B49" i="3"/>
  <c r="B42" i="3"/>
  <c r="B34" i="3"/>
  <c r="B35" i="3"/>
  <c r="D30" i="3" l="1"/>
  <c r="D31" i="3" s="1"/>
  <c r="D32" i="3" s="1"/>
  <c r="D33" i="3" s="1"/>
  <c r="D34" i="3" s="1"/>
  <c r="D35" i="3" s="1"/>
  <c r="D36" i="3" s="1"/>
  <c r="D37" i="3" s="1"/>
  <c r="D38" i="3" s="1"/>
  <c r="D39" i="3" s="1"/>
  <c r="D40" i="3" s="1"/>
  <c r="D41" i="3" s="1"/>
  <c r="D42" i="3" s="1"/>
  <c r="D43" i="3" s="1"/>
  <c r="D44" i="3" s="1"/>
  <c r="D45" i="3" s="1"/>
  <c r="D46" i="3" s="1"/>
  <c r="D47" i="3" s="1"/>
  <c r="D48" i="3" s="1"/>
  <c r="D49" i="3" s="1"/>
  <c r="D50" i="3" s="1"/>
  <c r="D51" i="3" s="1"/>
  <c r="D52" i="3" s="1"/>
  <c r="D53" i="3" s="1"/>
</calcChain>
</file>

<file path=xl/sharedStrings.xml><?xml version="1.0" encoding="utf-8"?>
<sst xmlns="http://schemas.openxmlformats.org/spreadsheetml/2006/main" count="448" uniqueCount="248">
  <si>
    <t>ORS</t>
  </si>
  <si>
    <t>tonnes/year</t>
  </si>
  <si>
    <t>tonnes/day</t>
  </si>
  <si>
    <t xml:space="preserve">HRT </t>
  </si>
  <si>
    <t>days</t>
  </si>
  <si>
    <t>ORS TS</t>
  </si>
  <si>
    <t>%</t>
  </si>
  <si>
    <t>ORS VS/TS</t>
  </si>
  <si>
    <t xml:space="preserve">ORS </t>
  </si>
  <si>
    <t>tonnes VS/day</t>
  </si>
  <si>
    <t>TS</t>
  </si>
  <si>
    <t>m3/day</t>
  </si>
  <si>
    <t>Fermenter-Continuous</t>
  </si>
  <si>
    <t>V</t>
  </si>
  <si>
    <t>m3</t>
  </si>
  <si>
    <t>gallons</t>
  </si>
  <si>
    <t>Type</t>
  </si>
  <si>
    <t>Tank: API, Cone Roof, Shop Fab</t>
  </si>
  <si>
    <t>Material</t>
  </si>
  <si>
    <t>Cost</t>
  </si>
  <si>
    <t>US dollars</t>
  </si>
  <si>
    <t>Year</t>
  </si>
  <si>
    <t>Notes</t>
  </si>
  <si>
    <t>Other materials and field fabricated are cheaper</t>
  </si>
  <si>
    <t>Matche.com</t>
  </si>
  <si>
    <t xml:space="preserve">Coulson and Richardson Vol 6 </t>
  </si>
  <si>
    <t>Tank: Cone Roof</t>
  </si>
  <si>
    <t>Stainless Steel</t>
  </si>
  <si>
    <t>Cheaper in other materials</t>
  </si>
  <si>
    <t>Stainless Steel 304</t>
  </si>
  <si>
    <t>CEPCI 2020</t>
  </si>
  <si>
    <t>CEPCI</t>
  </si>
  <si>
    <t>COST 2020</t>
  </si>
  <si>
    <t xml:space="preserve">CEPCI </t>
  </si>
  <si>
    <t xml:space="preserve">Heat exchanger </t>
  </si>
  <si>
    <t>h1 (water)</t>
  </si>
  <si>
    <t>h2 (air)</t>
  </si>
  <si>
    <t>L - wall thickness</t>
  </si>
  <si>
    <t>λ (stainless steel)</t>
  </si>
  <si>
    <t>W/m2 K</t>
  </si>
  <si>
    <t>mm</t>
  </si>
  <si>
    <t>W/m K</t>
  </si>
  <si>
    <t>H/D tank ratio</t>
  </si>
  <si>
    <t>TANK HEAT LOSS</t>
  </si>
  <si>
    <t>DIMENTIONS</t>
  </si>
  <si>
    <t>D</t>
  </si>
  <si>
    <t>m</t>
  </si>
  <si>
    <t>H</t>
  </si>
  <si>
    <t>Headspace V</t>
  </si>
  <si>
    <t>V+Headspace</t>
  </si>
  <si>
    <t>Headspace H</t>
  </si>
  <si>
    <t>A cilinder walls</t>
  </si>
  <si>
    <t>m2</t>
  </si>
  <si>
    <t>T reactor</t>
  </si>
  <si>
    <t>T air</t>
  </si>
  <si>
    <t>C</t>
  </si>
  <si>
    <t>W</t>
  </si>
  <si>
    <t>Wind speed</t>
  </si>
  <si>
    <t>km/h</t>
  </si>
  <si>
    <t>HEAT EXCHANGER DESIGN</t>
  </si>
  <si>
    <t>C/24h</t>
  </si>
  <si>
    <t xml:space="preserve">Insulation - Max T drop </t>
  </si>
  <si>
    <t xml:space="preserve"> Dounle pipe exchanger</t>
  </si>
  <si>
    <t>Inner tube:</t>
  </si>
  <si>
    <t>m/s</t>
  </si>
  <si>
    <t>Min sludge velocity</t>
  </si>
  <si>
    <t>Max hot water T</t>
  </si>
  <si>
    <t>Corrugated - satinless steel 316</t>
  </si>
  <si>
    <t>Return water T</t>
  </si>
  <si>
    <t>Sludge Tf</t>
  </si>
  <si>
    <t>∆T ln</t>
  </si>
  <si>
    <t xml:space="preserve">Max sludge velocity </t>
  </si>
  <si>
    <t>T1</t>
  </si>
  <si>
    <t>T2</t>
  </si>
  <si>
    <t>t1</t>
  </si>
  <si>
    <t>t2</t>
  </si>
  <si>
    <t>K</t>
  </si>
  <si>
    <t xml:space="preserve">Max water velocity </t>
  </si>
  <si>
    <t xml:space="preserve">Min water velocity </t>
  </si>
  <si>
    <t>References</t>
  </si>
  <si>
    <t>U - using figure 12.1</t>
  </si>
  <si>
    <t>Assumed lower value of  boiling water and middle of dilute aqueous, this is in accordance with Table 12.1 too</t>
  </si>
  <si>
    <t>A</t>
  </si>
  <si>
    <t xml:space="preserve">Type: </t>
  </si>
  <si>
    <t>Conductivity coefficient</t>
  </si>
  <si>
    <t>Convection coefficient</t>
  </si>
  <si>
    <t>ft2</t>
  </si>
  <si>
    <t xml:space="preserve">Double pipe, large </t>
  </si>
  <si>
    <t>Stainless Steel 316</t>
  </si>
  <si>
    <t xml:space="preserve">Shell and tube </t>
  </si>
  <si>
    <t>Stainless Steel for tubes and shell</t>
  </si>
  <si>
    <t>Based on graph -&gt;</t>
  </si>
  <si>
    <t>Chemical Engineering Design - Sinnot and Towler 2020</t>
  </si>
  <si>
    <t>Double pipe</t>
  </si>
  <si>
    <t>Not specified</t>
  </si>
  <si>
    <t>NOTE: in red what has not been considered in the  calculations yet</t>
  </si>
  <si>
    <t>U cilinder walls</t>
  </si>
  <si>
    <t xml:space="preserve">Ubottom </t>
  </si>
  <si>
    <t>λ (wet soil)</t>
  </si>
  <si>
    <t xml:space="preserve">T soil </t>
  </si>
  <si>
    <t>Reference</t>
  </si>
  <si>
    <t xml:space="preserve">Notes </t>
  </si>
  <si>
    <t>-</t>
  </si>
  <si>
    <t>for clay loam at 18% moinsture content</t>
  </si>
  <si>
    <t>A bottom</t>
  </si>
  <si>
    <t>HEAT - FEEDSTOCK</t>
  </si>
  <si>
    <t>T feedstock</t>
  </si>
  <si>
    <t>Specific heat capacity (water)</t>
  </si>
  <si>
    <t>J/kg C</t>
  </si>
  <si>
    <t xml:space="preserve">kg/s </t>
  </si>
  <si>
    <t>TOTAL</t>
  </si>
  <si>
    <t>Sludge max ∆𝑇</t>
  </si>
  <si>
    <t>Sludge Ti (iteration input)</t>
  </si>
  <si>
    <t>kg/s</t>
  </si>
  <si>
    <t>Recirculation pump</t>
  </si>
  <si>
    <t>gallon/min</t>
  </si>
  <si>
    <t>Progressive cavity, medium</t>
  </si>
  <si>
    <t>Stainless Steel 316, mechanical seal</t>
  </si>
  <si>
    <t>Other materials are cheaper</t>
  </si>
  <si>
    <t>Pre-mixer</t>
  </si>
  <si>
    <t>HRT</t>
  </si>
  <si>
    <t>h</t>
  </si>
  <si>
    <t>Single stage centrifugal</t>
  </si>
  <si>
    <t>Jacketed, agitated</t>
  </si>
  <si>
    <t>Stainless steel 304</t>
  </si>
  <si>
    <t>Fixed</t>
  </si>
  <si>
    <t>Variable</t>
  </si>
  <si>
    <t>Feedstock</t>
  </si>
  <si>
    <t>Enzymes</t>
  </si>
  <si>
    <t>Maintenance</t>
  </si>
  <si>
    <t xml:space="preserve">Personnel </t>
  </si>
  <si>
    <t>Laboratory costs</t>
  </si>
  <si>
    <t xml:space="preserve">Supervision </t>
  </si>
  <si>
    <t xml:space="preserve">20% of personnel </t>
  </si>
  <si>
    <t>Plant overheads</t>
  </si>
  <si>
    <t>50% of perssonel</t>
  </si>
  <si>
    <t xml:space="preserve">Capital charges </t>
  </si>
  <si>
    <t>10% of indirect capital cost</t>
  </si>
  <si>
    <t>Insurance</t>
  </si>
  <si>
    <t xml:space="preserve">1% of indirect capital cost </t>
  </si>
  <si>
    <t xml:space="preserve">Local taxes </t>
  </si>
  <si>
    <t xml:space="preserve">2% of indirect capital cost </t>
  </si>
  <si>
    <t xml:space="preserve">Royalties </t>
  </si>
  <si>
    <t xml:space="preserve"> Variable + Fixed operating costs </t>
  </si>
  <si>
    <t xml:space="preserve">Direct production cost (DPC) </t>
  </si>
  <si>
    <t>TOTAL OPERATING COST</t>
  </si>
  <si>
    <t>2 ppl for solids-fluids process each step</t>
  </si>
  <si>
    <t>$/year</t>
  </si>
  <si>
    <t>Number of personnel*40hours/week*52 weeks*hourly wage</t>
  </si>
  <si>
    <t>Operating costs</t>
  </si>
  <si>
    <t>Direct cap cost</t>
  </si>
  <si>
    <t>Indirect cap cost</t>
  </si>
  <si>
    <t>Total purchased equipment costs</t>
  </si>
  <si>
    <t xml:space="preserve">Worst case scenario </t>
  </si>
  <si>
    <t>Instalation costs</t>
  </si>
  <si>
    <t>Foundation &amp; supports</t>
  </si>
  <si>
    <t xml:space="preserve">Erection &amp; handling </t>
  </si>
  <si>
    <t xml:space="preserve">Electrical </t>
  </si>
  <si>
    <t xml:space="preserve">Piping </t>
  </si>
  <si>
    <t xml:space="preserve">Insulation </t>
  </si>
  <si>
    <t xml:space="preserve">Painting </t>
  </si>
  <si>
    <t>TOTAL DIRECT CAPITAL COSTS</t>
  </si>
  <si>
    <t>Based on EPA 1998</t>
  </si>
  <si>
    <t xml:space="preserve">Indirect capital costs </t>
  </si>
  <si>
    <t xml:space="preserve">Based on OAQPS </t>
  </si>
  <si>
    <t>Engineering and supervision</t>
  </si>
  <si>
    <t>Construction and field expenses</t>
  </si>
  <si>
    <t>contractor fees</t>
  </si>
  <si>
    <t xml:space="preserve">start-up </t>
  </si>
  <si>
    <t xml:space="preserve">performance testing </t>
  </si>
  <si>
    <t xml:space="preserve">TOTAL INDERECT CAPITAL COSTS </t>
  </si>
  <si>
    <t>TOTAL cap cost (12% contingency)</t>
  </si>
  <si>
    <t>CASH FLOWS</t>
  </si>
  <si>
    <t>TOTAL VARIABLE COSTS</t>
  </si>
  <si>
    <t>TOTAL FIXED COSTS</t>
  </si>
  <si>
    <t xml:space="preserve">year </t>
  </si>
  <si>
    <t>NaOH</t>
  </si>
  <si>
    <t>Profits</t>
  </si>
  <si>
    <t>*without equipment lifespam and increasing production costs and market value of product</t>
  </si>
  <si>
    <t>cash flow ($)</t>
  </si>
  <si>
    <t>Discount rate</t>
  </si>
  <si>
    <t>discounted cash flow ($)</t>
  </si>
  <si>
    <t>Acetic acid</t>
  </si>
  <si>
    <t>$/kg</t>
  </si>
  <si>
    <t xml:space="preserve">Propionic </t>
  </si>
  <si>
    <t xml:space="preserve">Butyric </t>
  </si>
  <si>
    <t>Mixture</t>
  </si>
  <si>
    <t>VFA conc</t>
  </si>
  <si>
    <t>kg/m3</t>
  </si>
  <si>
    <t>VFA Q</t>
  </si>
  <si>
    <t>m3/year</t>
  </si>
  <si>
    <t>kg/year</t>
  </si>
  <si>
    <t>(pure)</t>
  </si>
  <si>
    <t>VFA sales</t>
  </si>
  <si>
    <t>Landfill tax discount</t>
  </si>
  <si>
    <t xml:space="preserve">Purification cost </t>
  </si>
  <si>
    <t>Landfill tax</t>
  </si>
  <si>
    <t>$/ton</t>
  </si>
  <si>
    <t>TS% reduction</t>
  </si>
  <si>
    <t>£/ton</t>
  </si>
  <si>
    <t>£/kWh</t>
  </si>
  <si>
    <t>$/kWh</t>
  </si>
  <si>
    <t>EXCLUDING landfill tax which has to be paid regardless of AF treatment</t>
  </si>
  <si>
    <t>kg/m3 feed</t>
  </si>
  <si>
    <t>Power</t>
  </si>
  <si>
    <t xml:space="preserve">Power </t>
  </si>
  <si>
    <t xml:space="preserve">Efficiency </t>
  </si>
  <si>
    <t>J/kg</t>
  </si>
  <si>
    <t>Note: pressure changes not included</t>
  </si>
  <si>
    <t>W/m3</t>
  </si>
  <si>
    <t>L - insulation thickness</t>
  </si>
  <si>
    <t>λ (insulation material)</t>
  </si>
  <si>
    <t>Vacuum insulation panels</t>
  </si>
  <si>
    <t>Natural gas</t>
  </si>
  <si>
    <t xml:space="preserve">Electricity </t>
  </si>
  <si>
    <t>Ff</t>
  </si>
  <si>
    <t>Q wall</t>
  </si>
  <si>
    <t>Q bottom</t>
  </si>
  <si>
    <t>Q feed</t>
  </si>
  <si>
    <t>Q required TOTAL</t>
  </si>
  <si>
    <t xml:space="preserve">F recirculation </t>
  </si>
  <si>
    <t>F recirculation/F feedstock</t>
  </si>
  <si>
    <t>Net present value (NPV)</t>
  </si>
  <si>
    <t>Fr</t>
  </si>
  <si>
    <t>feedstock pump &amp; discharge pump</t>
  </si>
  <si>
    <t>https://core.ac.uk/download/pdf/78558705.pdf</t>
  </si>
  <si>
    <t xml:space="preserve"> increased a little due to higher ORS viscosity compared to AD sludge</t>
  </si>
  <si>
    <t>Specific Power input</t>
  </si>
  <si>
    <t>Water (90% recycled)</t>
  </si>
  <si>
    <t>$/m3</t>
  </si>
  <si>
    <t>£/m3</t>
  </si>
  <si>
    <t xml:space="preserve">20 of personnel </t>
  </si>
  <si>
    <t>5 of indirect capital cost</t>
  </si>
  <si>
    <t>Specific Work</t>
  </si>
  <si>
    <t>Stainless Steel, mechanical seal</t>
  </si>
  <si>
    <t>Reactor, Fermenter</t>
  </si>
  <si>
    <t>1.2 x DPC</t>
  </si>
  <si>
    <t>$/kg protein</t>
  </si>
  <si>
    <t>Enzyme VS%</t>
  </si>
  <si>
    <t>kwh/year</t>
  </si>
  <si>
    <t>kwh/kg acid</t>
  </si>
  <si>
    <t>$/m3 effluent</t>
  </si>
  <si>
    <t xml:space="preserve">m3/hour </t>
  </si>
  <si>
    <t>COD average</t>
  </si>
  <si>
    <t>g COD/L</t>
  </si>
  <si>
    <t>EBITDA</t>
  </si>
  <si>
    <t>year/ VFA price</t>
  </si>
  <si>
    <t xml:space="preserve">NVP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</si>
</sst>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_-;\-* #,##0.00_-;_-* &quot;-&quot;??_-;_-@_-"/>
    <numFmt numFmtId="164" formatCode="0.000"/>
    <numFmt numFmtId="165" formatCode="0.0"/>
    <numFmt numFmtId="166" formatCode="0.0%"/>
    <numFmt numFmtId="167" formatCode="#,##0.0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theme="4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5" tint="0.59999389629810485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7F7F7F"/>
      </left>
      <right/>
      <top style="thin">
        <color rgb="FF7F7F7F"/>
      </top>
      <bottom/>
      <diagonal/>
    </border>
    <border>
      <left/>
      <right/>
      <top style="thin">
        <color rgb="FF7F7F7F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7F7F7F"/>
      </left>
      <right/>
      <top style="thin">
        <color rgb="FF7F7F7F"/>
      </top>
      <bottom style="thin">
        <color rgb="FF7F7F7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0">
    <xf numFmtId="0" fontId="0" fillId="0" borderId="0"/>
    <xf numFmtId="0" fontId="2" fillId="0" borderId="1" applyNumberFormat="0" applyFill="0" applyAlignment="0" applyProtection="0"/>
    <xf numFmtId="0" fontId="3" fillId="2" borderId="2" applyNumberFormat="0" applyAlignment="0" applyProtection="0"/>
    <xf numFmtId="0" fontId="4" fillId="3" borderId="2" applyNumberFormat="0" applyAlignment="0" applyProtection="0"/>
    <xf numFmtId="0" fontId="5" fillId="4" borderId="0" applyNumberFormat="0" applyBorder="0" applyAlignment="0" applyProtection="0"/>
    <xf numFmtId="0" fontId="1" fillId="5" borderId="0" applyNumberFormat="0" applyBorder="0" applyAlignment="0" applyProtection="0"/>
    <xf numFmtId="0" fontId="3" fillId="6" borderId="2"/>
    <xf numFmtId="9" fontId="1" fillId="0" borderId="0" applyFont="0" applyFill="0" applyBorder="0" applyAlignment="0" applyProtection="0"/>
    <xf numFmtId="0" fontId="8" fillId="0" borderId="0" applyNumberFormat="0" applyFill="0" applyBorder="0" applyAlignment="0" applyProtection="0"/>
    <xf numFmtId="43" fontId="1" fillId="0" borderId="0" applyFont="0" applyFill="0" applyBorder="0" applyAlignment="0" applyProtection="0"/>
  </cellStyleXfs>
  <cellXfs count="57">
    <xf numFmtId="0" fontId="0" fillId="0" borderId="0" xfId="0"/>
    <xf numFmtId="0" fontId="4" fillId="3" borderId="2" xfId="3"/>
    <xf numFmtId="0" fontId="3" fillId="2" borderId="2" xfId="2"/>
    <xf numFmtId="2" fontId="4" fillId="3" borderId="2" xfId="3" applyNumberFormat="1"/>
    <xf numFmtId="0" fontId="3" fillId="6" borderId="2" xfId="2" applyFill="1"/>
    <xf numFmtId="3" fontId="3" fillId="6" borderId="2" xfId="2" applyNumberFormat="1" applyFill="1"/>
    <xf numFmtId="10" fontId="3" fillId="6" borderId="2" xfId="2" applyNumberFormat="1" applyFill="1"/>
    <xf numFmtId="1" fontId="4" fillId="3" borderId="2" xfId="3" applyNumberFormat="1"/>
    <xf numFmtId="0" fontId="1" fillId="5" borderId="0" xfId="5" applyBorder="1"/>
    <xf numFmtId="0" fontId="1" fillId="5" borderId="0" xfId="5"/>
    <xf numFmtId="0" fontId="0" fillId="0" borderId="0" xfId="0" applyAlignment="1">
      <alignment horizontal="center"/>
    </xf>
    <xf numFmtId="0" fontId="3" fillId="2" borderId="2" xfId="2" applyAlignment="1">
      <alignment horizontal="center"/>
    </xf>
    <xf numFmtId="0" fontId="6" fillId="0" borderId="0" xfId="0" applyFont="1"/>
    <xf numFmtId="0" fontId="3" fillId="2" borderId="6" xfId="2" applyBorder="1"/>
    <xf numFmtId="0" fontId="4" fillId="3" borderId="6" xfId="3" applyBorder="1"/>
    <xf numFmtId="0" fontId="6" fillId="0" borderId="5" xfId="0" applyFont="1" applyBorder="1"/>
    <xf numFmtId="0" fontId="6" fillId="0" borderId="7" xfId="0" applyFont="1" applyBorder="1"/>
    <xf numFmtId="3" fontId="4" fillId="3" borderId="2" xfId="3" applyNumberFormat="1"/>
    <xf numFmtId="3" fontId="3" fillId="2" borderId="2" xfId="2" applyNumberFormat="1"/>
    <xf numFmtId="0" fontId="7" fillId="2" borderId="2" xfId="2" applyFont="1"/>
    <xf numFmtId="0" fontId="7" fillId="2" borderId="6" xfId="2" applyFont="1" applyBorder="1"/>
    <xf numFmtId="0" fontId="0" fillId="0" borderId="5" xfId="0" applyBorder="1"/>
    <xf numFmtId="164" fontId="4" fillId="3" borderId="2" xfId="3" applyNumberFormat="1"/>
    <xf numFmtId="0" fontId="7" fillId="0" borderId="0" xfId="0" applyFont="1"/>
    <xf numFmtId="165" fontId="4" fillId="3" borderId="2" xfId="3" applyNumberFormat="1"/>
    <xf numFmtId="0" fontId="2" fillId="0" borderId="1" xfId="1"/>
    <xf numFmtId="2" fontId="0" fillId="0" borderId="0" xfId="0" applyNumberFormat="1"/>
    <xf numFmtId="1" fontId="0" fillId="0" borderId="0" xfId="0" applyNumberFormat="1"/>
    <xf numFmtId="4" fontId="6" fillId="0" borderId="0" xfId="0" applyNumberFormat="1" applyFont="1"/>
    <xf numFmtId="3" fontId="0" fillId="0" borderId="0" xfId="0" applyNumberFormat="1"/>
    <xf numFmtId="4" fontId="0" fillId="0" borderId="0" xfId="0" applyNumberFormat="1"/>
    <xf numFmtId="3" fontId="6" fillId="0" borderId="0" xfId="0" applyNumberFormat="1" applyFont="1"/>
    <xf numFmtId="0" fontId="0" fillId="7" borderId="0" xfId="0" applyFill="1"/>
    <xf numFmtId="9" fontId="0" fillId="0" borderId="0" xfId="0" applyNumberFormat="1"/>
    <xf numFmtId="0" fontId="3" fillId="6" borderId="2" xfId="6"/>
    <xf numFmtId="9" fontId="3" fillId="6" borderId="2" xfId="7" applyFont="1" applyFill="1" applyBorder="1"/>
    <xf numFmtId="0" fontId="6" fillId="0" borderId="0" xfId="0" applyFont="1" applyAlignment="1">
      <alignment horizontal="center"/>
    </xf>
    <xf numFmtId="4" fontId="3" fillId="6" borderId="2" xfId="2" applyNumberFormat="1" applyFill="1"/>
    <xf numFmtId="4" fontId="4" fillId="3" borderId="2" xfId="3" applyNumberFormat="1"/>
    <xf numFmtId="4" fontId="3" fillId="2" borderId="2" xfId="2" applyNumberFormat="1"/>
    <xf numFmtId="0" fontId="8" fillId="0" borderId="0" xfId="8"/>
    <xf numFmtId="9" fontId="0" fillId="0" borderId="0" xfId="7" applyFont="1"/>
    <xf numFmtId="10" fontId="0" fillId="0" borderId="0" xfId="7" applyNumberFormat="1" applyFont="1"/>
    <xf numFmtId="3" fontId="0" fillId="0" borderId="0" xfId="9" applyNumberFormat="1" applyFont="1"/>
    <xf numFmtId="166" fontId="0" fillId="0" borderId="0" xfId="7" applyNumberFormat="1" applyFont="1"/>
    <xf numFmtId="0" fontId="9" fillId="0" borderId="0" xfId="0" applyFont="1"/>
    <xf numFmtId="0" fontId="9" fillId="7" borderId="0" xfId="0" applyFont="1" applyFill="1"/>
    <xf numFmtId="166" fontId="3" fillId="6" borderId="2" xfId="7" applyNumberFormat="1" applyFont="1" applyFill="1" applyBorder="1"/>
    <xf numFmtId="10" fontId="3" fillId="6" borderId="2" xfId="7" applyNumberFormat="1" applyFont="1" applyFill="1" applyBorder="1"/>
    <xf numFmtId="167" fontId="0" fillId="0" borderId="0" xfId="0" applyNumberFormat="1"/>
    <xf numFmtId="0" fontId="5" fillId="4" borderId="0" xfId="4" applyBorder="1" applyAlignment="1">
      <alignment horizontal="center"/>
    </xf>
    <xf numFmtId="0" fontId="1" fillId="5" borderId="0" xfId="5" applyAlignment="1">
      <alignment horizontal="center"/>
    </xf>
    <xf numFmtId="0" fontId="5" fillId="4" borderId="3" xfId="4" applyBorder="1" applyAlignment="1">
      <alignment horizontal="center"/>
    </xf>
    <xf numFmtId="0" fontId="5" fillId="4" borderId="4" xfId="4" applyBorder="1" applyAlignment="1">
      <alignment horizontal="center"/>
    </xf>
    <xf numFmtId="0" fontId="1" fillId="5" borderId="0" xfId="5" applyAlignment="1">
      <alignment horizontal="center" wrapText="1"/>
    </xf>
    <xf numFmtId="0" fontId="2" fillId="0" borderId="1" xfId="1" applyAlignment="1">
      <alignment horizontal="center"/>
    </xf>
    <xf numFmtId="0" fontId="2" fillId="0" borderId="0" xfId="1" applyBorder="1" applyAlignment="1">
      <alignment horizontal="center"/>
    </xf>
  </cellXfs>
  <cellStyles count="10">
    <cellStyle name="40% - Accent2" xfId="5" builtinId="35"/>
    <cellStyle name="Accent1" xfId="4" builtinId="29"/>
    <cellStyle name="Calculation" xfId="3" builtinId="22"/>
    <cellStyle name="Comma" xfId="9" builtinId="3"/>
    <cellStyle name="Heading 1" xfId="1" builtinId="16"/>
    <cellStyle name="Hyperlink" xfId="8" builtinId="8"/>
    <cellStyle name="Input" xfId="2" builtinId="20"/>
    <cellStyle name="Normal" xfId="0" builtinId="0"/>
    <cellStyle name="Percent" xfId="7" builtinId="5"/>
    <cellStyle name="Process data - input" xfId="6" xr:uid="{5CC1933E-EF43-4143-B112-64F4C4AF2B2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NPV</c:v>
          </c:tx>
          <c:spPr>
            <a:ln w="952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gradFill rotWithShape="1">
                <a:gsLst>
                  <a:gs pos="0">
                    <a:schemeClr val="accent1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9525">
                <a:solidFill>
                  <a:schemeClr val="accent1"/>
                </a:solidFill>
                <a:round/>
              </a:ln>
              <a:effectLst/>
            </c:spPr>
          </c:marker>
          <c:xVal>
            <c:numRef>
              <c:f>'total Costs'!$A$27:$A$54</c:f>
              <c:numCache>
                <c:formatCode>General</c:formatCode>
                <c:ptCount val="28"/>
                <c:pt idx="0">
                  <c:v>-1</c:v>
                </c:pt>
                <c:pt idx="1">
                  <c:v>0</c:v>
                </c:pt>
                <c:pt idx="2">
                  <c:v>1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5</c:v>
                </c:pt>
                <c:pt idx="7">
                  <c:v>6</c:v>
                </c:pt>
                <c:pt idx="8">
                  <c:v>7</c:v>
                </c:pt>
                <c:pt idx="9">
                  <c:v>8</c:v>
                </c:pt>
                <c:pt idx="10">
                  <c:v>9</c:v>
                </c:pt>
                <c:pt idx="11">
                  <c:v>10</c:v>
                </c:pt>
                <c:pt idx="12">
                  <c:v>11</c:v>
                </c:pt>
                <c:pt idx="13">
                  <c:v>12</c:v>
                </c:pt>
                <c:pt idx="14">
                  <c:v>13</c:v>
                </c:pt>
                <c:pt idx="15">
                  <c:v>14</c:v>
                </c:pt>
                <c:pt idx="16">
                  <c:v>15</c:v>
                </c:pt>
                <c:pt idx="17">
                  <c:v>16</c:v>
                </c:pt>
                <c:pt idx="18">
                  <c:v>17</c:v>
                </c:pt>
                <c:pt idx="19">
                  <c:v>18</c:v>
                </c:pt>
                <c:pt idx="20">
                  <c:v>19</c:v>
                </c:pt>
                <c:pt idx="21">
                  <c:v>20</c:v>
                </c:pt>
                <c:pt idx="22">
                  <c:v>21</c:v>
                </c:pt>
                <c:pt idx="23">
                  <c:v>22</c:v>
                </c:pt>
                <c:pt idx="24">
                  <c:v>23</c:v>
                </c:pt>
                <c:pt idx="25">
                  <c:v>24</c:v>
                </c:pt>
                <c:pt idx="26">
                  <c:v>25</c:v>
                </c:pt>
              </c:numCache>
            </c:numRef>
          </c:xVal>
          <c:yVal>
            <c:numRef>
              <c:f>'total Costs'!$D$27:$D$53</c:f>
              <c:numCache>
                <c:formatCode>#,##0</c:formatCode>
                <c:ptCount val="27"/>
                <c:pt idx="0">
                  <c:v>-422736.92881286237</c:v>
                </c:pt>
                <c:pt idx="1">
                  <c:v>-1056842.3220321559</c:v>
                </c:pt>
                <c:pt idx="2">
                  <c:v>-469142.91506037186</c:v>
                </c:pt>
                <c:pt idx="3">
                  <c:v>41900.047523788293</c:v>
                </c:pt>
                <c:pt idx="4">
                  <c:v>486285.2323795798</c:v>
                </c:pt>
                <c:pt idx="5">
                  <c:v>872707.13225418108</c:v>
                </c:pt>
                <c:pt idx="6">
                  <c:v>1208726.1756233997</c:v>
                </c:pt>
                <c:pt idx="7">
                  <c:v>1500916.6481183723</c:v>
                </c:pt>
                <c:pt idx="8">
                  <c:v>1754995.3198531312</c:v>
                </c:pt>
                <c:pt idx="9">
                  <c:v>1975933.2952746607</c:v>
                </c:pt>
                <c:pt idx="10">
                  <c:v>2168053.2739020777</c:v>
                </c:pt>
                <c:pt idx="11">
                  <c:v>2335114.1248824401</c:v>
                </c:pt>
                <c:pt idx="12">
                  <c:v>2480384.4300827552</c:v>
                </c:pt>
                <c:pt idx="13">
                  <c:v>2606706.4346047686</c:v>
                </c:pt>
                <c:pt idx="14">
                  <c:v>2716551.6559282583</c:v>
                </c:pt>
                <c:pt idx="15">
                  <c:v>2812069.2396878148</c:v>
                </c:pt>
                <c:pt idx="16">
                  <c:v>2895128.0081743859</c:v>
                </c:pt>
                <c:pt idx="17">
                  <c:v>2967353.024249665</c:v>
                </c:pt>
                <c:pt idx="18">
                  <c:v>3030157.3860542555</c:v>
                </c:pt>
                <c:pt idx="19">
                  <c:v>3084769.8745799866</c:v>
                </c:pt>
                <c:pt idx="20">
                  <c:v>3132258.9950371436</c:v>
                </c:pt>
                <c:pt idx="21">
                  <c:v>3173553.8823911934</c:v>
                </c:pt>
                <c:pt idx="22">
                  <c:v>3209462.4800903671</c:v>
                </c:pt>
                <c:pt idx="23">
                  <c:v>3240687.3476548661</c:v>
                </c:pt>
                <c:pt idx="24">
                  <c:v>3267839.4064066042</c:v>
                </c:pt>
                <c:pt idx="25">
                  <c:v>3291449.8922776808</c:v>
                </c:pt>
                <c:pt idx="26">
                  <c:v>3311980.7495568781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ADAF-4C81-BFE0-5F2CA83A252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99321856"/>
        <c:axId val="907303680"/>
      </c:scatterChart>
      <c:valAx>
        <c:axId val="89932185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Year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tx2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solidFill>
              <a:schemeClr val="tx2">
                <a:lumMod val="40000"/>
                <a:lumOff val="6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07303680"/>
        <c:crosses val="autoZero"/>
        <c:crossBetween val="midCat"/>
      </c:valAx>
      <c:valAx>
        <c:axId val="9073036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$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tx2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" sourceLinked="1"/>
        <c:majorTickMark val="none"/>
        <c:minorTickMark val="none"/>
        <c:tickLblPos val="nextTo"/>
        <c:spPr>
          <a:noFill/>
          <a:ln>
            <a:solidFill>
              <a:schemeClr val="tx2">
                <a:lumMod val="40000"/>
                <a:lumOff val="6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9932185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tx>
            <c:v>1 $/kg VFA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'NPV vs VFA price'!$A$4:$A$30</c:f>
              <c:numCache>
                <c:formatCode>General</c:formatCode>
                <c:ptCount val="27"/>
                <c:pt idx="0">
                  <c:v>-1</c:v>
                </c:pt>
                <c:pt idx="1">
                  <c:v>0</c:v>
                </c:pt>
                <c:pt idx="2">
                  <c:v>1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5</c:v>
                </c:pt>
                <c:pt idx="7">
                  <c:v>6</c:v>
                </c:pt>
                <c:pt idx="8">
                  <c:v>7</c:v>
                </c:pt>
                <c:pt idx="9">
                  <c:v>8</c:v>
                </c:pt>
                <c:pt idx="10">
                  <c:v>9</c:v>
                </c:pt>
                <c:pt idx="11">
                  <c:v>10</c:v>
                </c:pt>
                <c:pt idx="12">
                  <c:v>11</c:v>
                </c:pt>
                <c:pt idx="13">
                  <c:v>12</c:v>
                </c:pt>
                <c:pt idx="14">
                  <c:v>13</c:v>
                </c:pt>
                <c:pt idx="15">
                  <c:v>14</c:v>
                </c:pt>
                <c:pt idx="16">
                  <c:v>15</c:v>
                </c:pt>
                <c:pt idx="17">
                  <c:v>16</c:v>
                </c:pt>
                <c:pt idx="18">
                  <c:v>17</c:v>
                </c:pt>
                <c:pt idx="19">
                  <c:v>18</c:v>
                </c:pt>
                <c:pt idx="20">
                  <c:v>19</c:v>
                </c:pt>
                <c:pt idx="21">
                  <c:v>20</c:v>
                </c:pt>
                <c:pt idx="22">
                  <c:v>21</c:v>
                </c:pt>
                <c:pt idx="23">
                  <c:v>22</c:v>
                </c:pt>
                <c:pt idx="24">
                  <c:v>23</c:v>
                </c:pt>
                <c:pt idx="25">
                  <c:v>24</c:v>
                </c:pt>
                <c:pt idx="26">
                  <c:v>25</c:v>
                </c:pt>
              </c:numCache>
            </c:numRef>
          </c:xVal>
          <c:yVal>
            <c:numRef>
              <c:f>'NPV vs VFA price'!$B$4:$B$30</c:f>
              <c:numCache>
                <c:formatCode>General</c:formatCode>
                <c:ptCount val="27"/>
                <c:pt idx="0">
                  <c:v>-422736.92881286237</c:v>
                </c:pt>
                <c:pt idx="1">
                  <c:v>-1056842.3220321559</c:v>
                </c:pt>
                <c:pt idx="2">
                  <c:v>-1295577.6976690674</c:v>
                </c:pt>
                <c:pt idx="3">
                  <c:v>-1503173.6764837732</c:v>
                </c:pt>
                <c:pt idx="4">
                  <c:v>-1683691.9189313434</c:v>
                </c:pt>
                <c:pt idx="5">
                  <c:v>-1840664.3036683609</c:v>
                </c:pt>
                <c:pt idx="6">
                  <c:v>-1977162.0295266372</c:v>
                </c:pt>
                <c:pt idx="7">
                  <c:v>-2095855.7041860078</c:v>
                </c:pt>
                <c:pt idx="8">
                  <c:v>-2199067.5951941563</c:v>
                </c:pt>
                <c:pt idx="9">
                  <c:v>-2288817.0656360243</c:v>
                </c:pt>
                <c:pt idx="10">
                  <c:v>-2366860.0834115618</c:v>
                </c:pt>
                <c:pt idx="11">
                  <c:v>-2434723.5771294204</c:v>
                </c:pt>
                <c:pt idx="12">
                  <c:v>-2493735.3107971237</c:v>
                </c:pt>
                <c:pt idx="13">
                  <c:v>-2545049.861812518</c:v>
                </c:pt>
                <c:pt idx="14">
                  <c:v>-2589671.2105215564</c:v>
                </c:pt>
                <c:pt idx="15">
                  <c:v>-2628472.3833120246</c:v>
                </c:pt>
                <c:pt idx="16">
                  <c:v>-2662212.5335646058</c:v>
                </c:pt>
                <c:pt idx="17">
                  <c:v>-2691551.7946538068</c:v>
                </c:pt>
                <c:pt idx="18">
                  <c:v>-2717064.1956009381</c:v>
                </c:pt>
                <c:pt idx="19">
                  <c:v>-2739248.8920767042</c:v>
                </c:pt>
                <c:pt idx="20">
                  <c:v>-2758539.932490414</c:v>
                </c:pt>
                <c:pt idx="21">
                  <c:v>-2775314.7502414659</c:v>
                </c:pt>
                <c:pt idx="22">
                  <c:v>-2789901.5482858587</c:v>
                </c:pt>
                <c:pt idx="23">
                  <c:v>-2802585.7204983742</c:v>
                </c:pt>
                <c:pt idx="24">
                  <c:v>-2813615.4354657792</c:v>
                </c:pt>
                <c:pt idx="25">
                  <c:v>-2823206.4919591746</c:v>
                </c:pt>
                <c:pt idx="26">
                  <c:v>-2831546.5410838663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FE50-49F1-981D-95B2A9F1114B}"/>
            </c:ext>
          </c:extLst>
        </c:ser>
        <c:ser>
          <c:idx val="1"/>
          <c:order val="1"/>
          <c:tx>
            <c:v>1.2 $/kg VFA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'NPV vs VFA price'!$A$4:$A$30</c:f>
              <c:numCache>
                <c:formatCode>General</c:formatCode>
                <c:ptCount val="27"/>
                <c:pt idx="0">
                  <c:v>-1</c:v>
                </c:pt>
                <c:pt idx="1">
                  <c:v>0</c:v>
                </c:pt>
                <c:pt idx="2">
                  <c:v>1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5</c:v>
                </c:pt>
                <c:pt idx="7">
                  <c:v>6</c:v>
                </c:pt>
                <c:pt idx="8">
                  <c:v>7</c:v>
                </c:pt>
                <c:pt idx="9">
                  <c:v>8</c:v>
                </c:pt>
                <c:pt idx="10">
                  <c:v>9</c:v>
                </c:pt>
                <c:pt idx="11">
                  <c:v>10</c:v>
                </c:pt>
                <c:pt idx="12">
                  <c:v>11</c:v>
                </c:pt>
                <c:pt idx="13">
                  <c:v>12</c:v>
                </c:pt>
                <c:pt idx="14">
                  <c:v>13</c:v>
                </c:pt>
                <c:pt idx="15">
                  <c:v>14</c:v>
                </c:pt>
                <c:pt idx="16">
                  <c:v>15</c:v>
                </c:pt>
                <c:pt idx="17">
                  <c:v>16</c:v>
                </c:pt>
                <c:pt idx="18">
                  <c:v>17</c:v>
                </c:pt>
                <c:pt idx="19">
                  <c:v>18</c:v>
                </c:pt>
                <c:pt idx="20">
                  <c:v>19</c:v>
                </c:pt>
                <c:pt idx="21">
                  <c:v>20</c:v>
                </c:pt>
                <c:pt idx="22">
                  <c:v>21</c:v>
                </c:pt>
                <c:pt idx="23">
                  <c:v>22</c:v>
                </c:pt>
                <c:pt idx="24">
                  <c:v>23</c:v>
                </c:pt>
                <c:pt idx="25">
                  <c:v>24</c:v>
                </c:pt>
                <c:pt idx="26">
                  <c:v>25</c:v>
                </c:pt>
              </c:numCache>
            </c:numRef>
          </c:xVal>
          <c:yVal>
            <c:numRef>
              <c:f>'NPV vs VFA price'!$C$4:$C$30</c:f>
              <c:numCache>
                <c:formatCode>#,##0.0</c:formatCode>
                <c:ptCount val="27"/>
                <c:pt idx="0">
                  <c:v>-422736.92881286237</c:v>
                </c:pt>
                <c:pt idx="1">
                  <c:v>-1056842.3220321559</c:v>
                </c:pt>
                <c:pt idx="2">
                  <c:v>-1107751.6107125457</c:v>
                </c:pt>
                <c:pt idx="3">
                  <c:v>-1152020.5573911455</c:v>
                </c:pt>
                <c:pt idx="4">
                  <c:v>-1190515.2936334063</c:v>
                </c:pt>
                <c:pt idx="5">
                  <c:v>-1223988.9773223286</c:v>
                </c:pt>
                <c:pt idx="6">
                  <c:v>-1253096.5283561742</c:v>
                </c:pt>
                <c:pt idx="7">
                  <c:v>-1278407.4422986486</c:v>
                </c:pt>
                <c:pt idx="8">
                  <c:v>-1300416.932683409</c:v>
                </c:pt>
                <c:pt idx="9">
                  <c:v>-1319555.6199745049</c:v>
                </c:pt>
                <c:pt idx="10">
                  <c:v>-1336197.956749371</c:v>
                </c:pt>
                <c:pt idx="11">
                  <c:v>-1350669.5539449067</c:v>
                </c:pt>
                <c:pt idx="12">
                  <c:v>-1363253.551506242</c:v>
                </c:pt>
                <c:pt idx="13">
                  <c:v>-1374196.1580813164</c:v>
                </c:pt>
                <c:pt idx="14">
                  <c:v>-1383711.4681465984</c:v>
                </c:pt>
                <c:pt idx="15">
                  <c:v>-1391985.650812061</c:v>
                </c:pt>
                <c:pt idx="16">
                  <c:v>-1399180.5922602895</c:v>
                </c:pt>
                <c:pt idx="17">
                  <c:v>-1405437.0630848359</c:v>
                </c:pt>
                <c:pt idx="18">
                  <c:v>-1410877.4724974849</c:v>
                </c:pt>
                <c:pt idx="19">
                  <c:v>-1415608.2632910928</c:v>
                </c:pt>
                <c:pt idx="20">
                  <c:v>-1419721.9944159691</c:v>
                </c:pt>
                <c:pt idx="21">
                  <c:v>-1423299.1519158615</c:v>
                </c:pt>
                <c:pt idx="22">
                  <c:v>-1426409.7236548986</c:v>
                </c:pt>
                <c:pt idx="23">
                  <c:v>-1429114.5686453655</c:v>
                </c:pt>
                <c:pt idx="24">
                  <c:v>-1431466.6077675107</c:v>
                </c:pt>
                <c:pt idx="25">
                  <c:v>-1433511.8591780716</c:v>
                </c:pt>
                <c:pt idx="26">
                  <c:v>-1435290.3386655159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FE50-49F1-981D-95B2A9F1114B}"/>
            </c:ext>
          </c:extLst>
        </c:ser>
        <c:ser>
          <c:idx val="2"/>
          <c:order val="2"/>
          <c:tx>
            <c:v>1.4 $/kg VFA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'NPV vs VFA price'!$A$4:$A$30</c:f>
              <c:numCache>
                <c:formatCode>General</c:formatCode>
                <c:ptCount val="27"/>
                <c:pt idx="0">
                  <c:v>-1</c:v>
                </c:pt>
                <c:pt idx="1">
                  <c:v>0</c:v>
                </c:pt>
                <c:pt idx="2">
                  <c:v>1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5</c:v>
                </c:pt>
                <c:pt idx="7">
                  <c:v>6</c:v>
                </c:pt>
                <c:pt idx="8">
                  <c:v>7</c:v>
                </c:pt>
                <c:pt idx="9">
                  <c:v>8</c:v>
                </c:pt>
                <c:pt idx="10">
                  <c:v>9</c:v>
                </c:pt>
                <c:pt idx="11">
                  <c:v>10</c:v>
                </c:pt>
                <c:pt idx="12">
                  <c:v>11</c:v>
                </c:pt>
                <c:pt idx="13">
                  <c:v>12</c:v>
                </c:pt>
                <c:pt idx="14">
                  <c:v>13</c:v>
                </c:pt>
                <c:pt idx="15">
                  <c:v>14</c:v>
                </c:pt>
                <c:pt idx="16">
                  <c:v>15</c:v>
                </c:pt>
                <c:pt idx="17">
                  <c:v>16</c:v>
                </c:pt>
                <c:pt idx="18">
                  <c:v>17</c:v>
                </c:pt>
                <c:pt idx="19">
                  <c:v>18</c:v>
                </c:pt>
                <c:pt idx="20">
                  <c:v>19</c:v>
                </c:pt>
                <c:pt idx="21">
                  <c:v>20</c:v>
                </c:pt>
                <c:pt idx="22">
                  <c:v>21</c:v>
                </c:pt>
                <c:pt idx="23">
                  <c:v>22</c:v>
                </c:pt>
                <c:pt idx="24">
                  <c:v>23</c:v>
                </c:pt>
                <c:pt idx="25">
                  <c:v>24</c:v>
                </c:pt>
                <c:pt idx="26">
                  <c:v>25</c:v>
                </c:pt>
              </c:numCache>
            </c:numRef>
          </c:xVal>
          <c:yVal>
            <c:numRef>
              <c:f>'NPV vs VFA price'!$D$4:$D$30</c:f>
              <c:numCache>
                <c:formatCode>General</c:formatCode>
                <c:ptCount val="27"/>
                <c:pt idx="0">
                  <c:v>-422736.92881286237</c:v>
                </c:pt>
                <c:pt idx="1">
                  <c:v>-1056842.3220321559</c:v>
                </c:pt>
                <c:pt idx="2">
                  <c:v>-919925.52375602396</c:v>
                </c:pt>
                <c:pt idx="3">
                  <c:v>-800867.43829851795</c:v>
                </c:pt>
                <c:pt idx="4">
                  <c:v>-697338.66833546921</c:v>
                </c:pt>
                <c:pt idx="5">
                  <c:v>-607313.6509762964</c:v>
                </c:pt>
                <c:pt idx="6">
                  <c:v>-529031.02718571131</c:v>
                </c:pt>
                <c:pt idx="7">
                  <c:v>-460959.18041128956</c:v>
                </c:pt>
                <c:pt idx="8">
                  <c:v>-401766.27017266193</c:v>
                </c:pt>
                <c:pt idx="9">
                  <c:v>-350294.17431298574</c:v>
                </c:pt>
                <c:pt idx="10">
                  <c:v>-305535.83008718031</c:v>
                </c:pt>
                <c:pt idx="11">
                  <c:v>-266615.53076039301</c:v>
                </c:pt>
                <c:pt idx="12">
                  <c:v>-232771.79221536056</c:v>
                </c:pt>
                <c:pt idx="13">
                  <c:v>-203342.45435011495</c:v>
                </c:pt>
                <c:pt idx="14">
                  <c:v>-177751.72577164049</c:v>
                </c:pt>
                <c:pt idx="15">
                  <c:v>-155498.91831209749</c:v>
                </c:pt>
                <c:pt idx="16">
                  <c:v>-136148.65095597313</c:v>
                </c:pt>
                <c:pt idx="17">
                  <c:v>-119322.33151586499</c:v>
                </c:pt>
                <c:pt idx="18">
                  <c:v>-104690.74939403182</c:v>
                </c:pt>
                <c:pt idx="19">
                  <c:v>-91967.634505481241</c:v>
                </c:pt>
                <c:pt idx="20">
                  <c:v>-80904.056341524221</c:v>
                </c:pt>
                <c:pt idx="21">
                  <c:v>-71283.553590257245</c:v>
                </c:pt>
                <c:pt idx="22">
                  <c:v>-62917.899023938131</c:v>
                </c:pt>
                <c:pt idx="23">
                  <c:v>-55643.416792356293</c:v>
                </c:pt>
                <c:pt idx="24">
                  <c:v>-49317.780069241649</c:v>
                </c:pt>
                <c:pt idx="25">
                  <c:v>-43817.22639696805</c:v>
                </c:pt>
                <c:pt idx="26">
                  <c:v>-39034.136247164919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FE50-49F1-981D-95B2A9F1114B}"/>
            </c:ext>
          </c:extLst>
        </c:ser>
        <c:ser>
          <c:idx val="3"/>
          <c:order val="3"/>
          <c:tx>
            <c:v>1.6 $/kg VFA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'NPV vs VFA price'!$A$4:$A$30</c:f>
              <c:numCache>
                <c:formatCode>General</c:formatCode>
                <c:ptCount val="27"/>
                <c:pt idx="0">
                  <c:v>-1</c:v>
                </c:pt>
                <c:pt idx="1">
                  <c:v>0</c:v>
                </c:pt>
                <c:pt idx="2">
                  <c:v>1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5</c:v>
                </c:pt>
                <c:pt idx="7">
                  <c:v>6</c:v>
                </c:pt>
                <c:pt idx="8">
                  <c:v>7</c:v>
                </c:pt>
                <c:pt idx="9">
                  <c:v>8</c:v>
                </c:pt>
                <c:pt idx="10">
                  <c:v>9</c:v>
                </c:pt>
                <c:pt idx="11">
                  <c:v>10</c:v>
                </c:pt>
                <c:pt idx="12">
                  <c:v>11</c:v>
                </c:pt>
                <c:pt idx="13">
                  <c:v>12</c:v>
                </c:pt>
                <c:pt idx="14">
                  <c:v>13</c:v>
                </c:pt>
                <c:pt idx="15">
                  <c:v>14</c:v>
                </c:pt>
                <c:pt idx="16">
                  <c:v>15</c:v>
                </c:pt>
                <c:pt idx="17">
                  <c:v>16</c:v>
                </c:pt>
                <c:pt idx="18">
                  <c:v>17</c:v>
                </c:pt>
                <c:pt idx="19">
                  <c:v>18</c:v>
                </c:pt>
                <c:pt idx="20">
                  <c:v>19</c:v>
                </c:pt>
                <c:pt idx="21">
                  <c:v>20</c:v>
                </c:pt>
                <c:pt idx="22">
                  <c:v>21</c:v>
                </c:pt>
                <c:pt idx="23">
                  <c:v>22</c:v>
                </c:pt>
                <c:pt idx="24">
                  <c:v>23</c:v>
                </c:pt>
                <c:pt idx="25">
                  <c:v>24</c:v>
                </c:pt>
                <c:pt idx="26">
                  <c:v>25</c:v>
                </c:pt>
              </c:numCache>
            </c:numRef>
          </c:xVal>
          <c:yVal>
            <c:numRef>
              <c:f>'NPV vs VFA price'!$E$4:$E$30</c:f>
              <c:numCache>
                <c:formatCode>General</c:formatCode>
                <c:ptCount val="27"/>
                <c:pt idx="0">
                  <c:v>-422736.92881286237</c:v>
                </c:pt>
                <c:pt idx="1">
                  <c:v>-1056842.3220321559</c:v>
                </c:pt>
                <c:pt idx="2">
                  <c:v>-732099.43679950223</c:v>
                </c:pt>
                <c:pt idx="3">
                  <c:v>-449714.31920589035</c:v>
                </c:pt>
                <c:pt idx="4">
                  <c:v>-204162.04303753213</c:v>
                </c:pt>
                <c:pt idx="5">
                  <c:v>9361.6753697358945</c:v>
                </c:pt>
                <c:pt idx="6">
                  <c:v>195034.47398475156</c:v>
                </c:pt>
                <c:pt idx="7">
                  <c:v>356489.08147606952</c:v>
                </c:pt>
                <c:pt idx="8">
                  <c:v>496884.39233808522</c:v>
                </c:pt>
                <c:pt idx="9">
                  <c:v>618967.27134853369</c:v>
                </c:pt>
                <c:pt idx="10">
                  <c:v>725126.29657501052</c:v>
                </c:pt>
                <c:pt idx="11">
                  <c:v>817438.49242412089</c:v>
                </c:pt>
                <c:pt idx="12">
                  <c:v>897709.96707552124</c:v>
                </c:pt>
                <c:pt idx="13">
                  <c:v>967511.24938108679</c:v>
                </c:pt>
                <c:pt idx="14">
                  <c:v>1028208.0166033177</c:v>
                </c:pt>
                <c:pt idx="15">
                  <c:v>1080987.8141878662</c:v>
                </c:pt>
                <c:pt idx="16">
                  <c:v>1126883.2903483433</c:v>
                </c:pt>
                <c:pt idx="17">
                  <c:v>1166792.400053106</c:v>
                </c:pt>
                <c:pt idx="18">
                  <c:v>1201495.9737094215</c:v>
                </c:pt>
                <c:pt idx="19">
                  <c:v>1231672.9942801304</c:v>
                </c:pt>
                <c:pt idx="20">
                  <c:v>1257913.8817329209</c:v>
                </c:pt>
                <c:pt idx="21">
                  <c:v>1280732.0447353474</c:v>
                </c:pt>
                <c:pt idx="22">
                  <c:v>1300573.9256070226</c:v>
                </c:pt>
                <c:pt idx="23">
                  <c:v>1317827.7350606532</c:v>
                </c:pt>
                <c:pt idx="24">
                  <c:v>1332831.0476290276</c:v>
                </c:pt>
                <c:pt idx="25">
                  <c:v>1345877.4063841358</c:v>
                </c:pt>
                <c:pt idx="26">
                  <c:v>1357222.0661711865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FE50-49F1-981D-95B2A9F1114B}"/>
            </c:ext>
          </c:extLst>
        </c:ser>
        <c:ser>
          <c:idx val="4"/>
          <c:order val="4"/>
          <c:tx>
            <c:v>1.88 $/kg VFA</c:v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'NPV vs VFA price'!$A$4:$A$30</c:f>
              <c:numCache>
                <c:formatCode>General</c:formatCode>
                <c:ptCount val="27"/>
                <c:pt idx="0">
                  <c:v>-1</c:v>
                </c:pt>
                <c:pt idx="1">
                  <c:v>0</c:v>
                </c:pt>
                <c:pt idx="2">
                  <c:v>1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5</c:v>
                </c:pt>
                <c:pt idx="7">
                  <c:v>6</c:v>
                </c:pt>
                <c:pt idx="8">
                  <c:v>7</c:v>
                </c:pt>
                <c:pt idx="9">
                  <c:v>8</c:v>
                </c:pt>
                <c:pt idx="10">
                  <c:v>9</c:v>
                </c:pt>
                <c:pt idx="11">
                  <c:v>10</c:v>
                </c:pt>
                <c:pt idx="12">
                  <c:v>11</c:v>
                </c:pt>
                <c:pt idx="13">
                  <c:v>12</c:v>
                </c:pt>
                <c:pt idx="14">
                  <c:v>13</c:v>
                </c:pt>
                <c:pt idx="15">
                  <c:v>14</c:v>
                </c:pt>
                <c:pt idx="16">
                  <c:v>15</c:v>
                </c:pt>
                <c:pt idx="17">
                  <c:v>16</c:v>
                </c:pt>
                <c:pt idx="18">
                  <c:v>17</c:v>
                </c:pt>
                <c:pt idx="19">
                  <c:v>18</c:v>
                </c:pt>
                <c:pt idx="20">
                  <c:v>19</c:v>
                </c:pt>
                <c:pt idx="21">
                  <c:v>20</c:v>
                </c:pt>
                <c:pt idx="22">
                  <c:v>21</c:v>
                </c:pt>
                <c:pt idx="23">
                  <c:v>22</c:v>
                </c:pt>
                <c:pt idx="24">
                  <c:v>23</c:v>
                </c:pt>
                <c:pt idx="25">
                  <c:v>24</c:v>
                </c:pt>
                <c:pt idx="26">
                  <c:v>25</c:v>
                </c:pt>
              </c:numCache>
            </c:numRef>
          </c:xVal>
          <c:yVal>
            <c:numRef>
              <c:f>'NPV vs VFA price'!$F$4:$F$30</c:f>
              <c:numCache>
                <c:formatCode>General</c:formatCode>
                <c:ptCount val="27"/>
                <c:pt idx="0">
                  <c:v>-422736.92881286237</c:v>
                </c:pt>
                <c:pt idx="1">
                  <c:v>-1056842.3220321559</c:v>
                </c:pt>
                <c:pt idx="2">
                  <c:v>-469142.91506037186</c:v>
                </c:pt>
                <c:pt idx="3">
                  <c:v>41900.047523788293</c:v>
                </c:pt>
                <c:pt idx="4">
                  <c:v>486285.2323795798</c:v>
                </c:pt>
                <c:pt idx="5">
                  <c:v>872707.13225418108</c:v>
                </c:pt>
                <c:pt idx="6">
                  <c:v>1208726.1756233997</c:v>
                </c:pt>
                <c:pt idx="7">
                  <c:v>1500916.6481183723</c:v>
                </c:pt>
                <c:pt idx="8">
                  <c:v>1754995.3198531312</c:v>
                </c:pt>
                <c:pt idx="9">
                  <c:v>1975933.2952746607</c:v>
                </c:pt>
                <c:pt idx="10">
                  <c:v>2168053.2739020777</c:v>
                </c:pt>
                <c:pt idx="11">
                  <c:v>2335114.1248824401</c:v>
                </c:pt>
                <c:pt idx="12">
                  <c:v>2480384.4300827552</c:v>
                </c:pt>
                <c:pt idx="13">
                  <c:v>2606706.4346047686</c:v>
                </c:pt>
                <c:pt idx="14">
                  <c:v>2716551.6559282583</c:v>
                </c:pt>
                <c:pt idx="15">
                  <c:v>2812069.2396878148</c:v>
                </c:pt>
                <c:pt idx="16">
                  <c:v>2895128.0081743859</c:v>
                </c:pt>
                <c:pt idx="17">
                  <c:v>2967353.024249665</c:v>
                </c:pt>
                <c:pt idx="18">
                  <c:v>3030157.3860542555</c:v>
                </c:pt>
                <c:pt idx="19">
                  <c:v>3084769.8745799866</c:v>
                </c:pt>
                <c:pt idx="20">
                  <c:v>3132258.9950371436</c:v>
                </c:pt>
                <c:pt idx="21">
                  <c:v>3173553.8823911934</c:v>
                </c:pt>
                <c:pt idx="22">
                  <c:v>3209462.4800903671</c:v>
                </c:pt>
                <c:pt idx="23">
                  <c:v>3240687.3476548661</c:v>
                </c:pt>
                <c:pt idx="24">
                  <c:v>3267839.4064066042</c:v>
                </c:pt>
                <c:pt idx="25">
                  <c:v>3291449.8922776808</c:v>
                </c:pt>
                <c:pt idx="26">
                  <c:v>3311980.7495568781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FE50-49F1-981D-95B2A9F1114B}"/>
            </c:ext>
          </c:extLst>
        </c:ser>
        <c:ser>
          <c:idx val="5"/>
          <c:order val="5"/>
          <c:tx>
            <c:v>2 $/kg VFA</c:v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'NPV vs VFA price'!$A$4:$A$30</c:f>
              <c:numCache>
                <c:formatCode>General</c:formatCode>
                <c:ptCount val="27"/>
                <c:pt idx="0">
                  <c:v>-1</c:v>
                </c:pt>
                <c:pt idx="1">
                  <c:v>0</c:v>
                </c:pt>
                <c:pt idx="2">
                  <c:v>1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5</c:v>
                </c:pt>
                <c:pt idx="7">
                  <c:v>6</c:v>
                </c:pt>
                <c:pt idx="8">
                  <c:v>7</c:v>
                </c:pt>
                <c:pt idx="9">
                  <c:v>8</c:v>
                </c:pt>
                <c:pt idx="10">
                  <c:v>9</c:v>
                </c:pt>
                <c:pt idx="11">
                  <c:v>10</c:v>
                </c:pt>
                <c:pt idx="12">
                  <c:v>11</c:v>
                </c:pt>
                <c:pt idx="13">
                  <c:v>12</c:v>
                </c:pt>
                <c:pt idx="14">
                  <c:v>13</c:v>
                </c:pt>
                <c:pt idx="15">
                  <c:v>14</c:v>
                </c:pt>
                <c:pt idx="16">
                  <c:v>15</c:v>
                </c:pt>
                <c:pt idx="17">
                  <c:v>16</c:v>
                </c:pt>
                <c:pt idx="18">
                  <c:v>17</c:v>
                </c:pt>
                <c:pt idx="19">
                  <c:v>18</c:v>
                </c:pt>
                <c:pt idx="20">
                  <c:v>19</c:v>
                </c:pt>
                <c:pt idx="21">
                  <c:v>20</c:v>
                </c:pt>
                <c:pt idx="22">
                  <c:v>21</c:v>
                </c:pt>
                <c:pt idx="23">
                  <c:v>22</c:v>
                </c:pt>
                <c:pt idx="24">
                  <c:v>23</c:v>
                </c:pt>
                <c:pt idx="25">
                  <c:v>24</c:v>
                </c:pt>
                <c:pt idx="26">
                  <c:v>25</c:v>
                </c:pt>
              </c:numCache>
            </c:numRef>
          </c:xVal>
          <c:yVal>
            <c:numRef>
              <c:f>'NPV vs VFA price'!$G$4:$G$30</c:f>
              <c:numCache>
                <c:formatCode>General</c:formatCode>
                <c:ptCount val="27"/>
                <c:pt idx="0">
                  <c:v>-422736.92881286237</c:v>
                </c:pt>
                <c:pt idx="1">
                  <c:v>-1056842.3220321559</c:v>
                </c:pt>
                <c:pt idx="2">
                  <c:v>-356447.26288645878</c:v>
                </c:pt>
                <c:pt idx="3">
                  <c:v>252591.91897936491</c:v>
                </c:pt>
                <c:pt idx="4">
                  <c:v>782191.20755834214</c:v>
                </c:pt>
                <c:pt idx="5">
                  <c:v>1242712.3280618005</c:v>
                </c:pt>
                <c:pt idx="6">
                  <c:v>1643165.4763256772</c:v>
                </c:pt>
                <c:pt idx="7">
                  <c:v>1991385.6052507877</c:v>
                </c:pt>
                <c:pt idx="8">
                  <c:v>2294185.7173595792</c:v>
                </c:pt>
                <c:pt idx="9">
                  <c:v>2557490.1626715721</c:v>
                </c:pt>
                <c:pt idx="10">
                  <c:v>2786450.5498993918</c:v>
                </c:pt>
                <c:pt idx="11">
                  <c:v>2985546.5387931485</c:v>
                </c:pt>
                <c:pt idx="12">
                  <c:v>3158673.4856572845</c:v>
                </c:pt>
                <c:pt idx="13">
                  <c:v>3309218.65684349</c:v>
                </c:pt>
                <c:pt idx="14">
                  <c:v>3440127.5013532336</c:v>
                </c:pt>
                <c:pt idx="15">
                  <c:v>3553961.2791877934</c:v>
                </c:pt>
                <c:pt idx="16">
                  <c:v>3652947.1729569756</c:v>
                </c:pt>
                <c:pt idx="17">
                  <c:v>3739021.8631910472</c:v>
                </c:pt>
                <c:pt idx="18">
                  <c:v>3813869.4199163271</c:v>
                </c:pt>
                <c:pt idx="19">
                  <c:v>3878954.2518513529</c:v>
                </c:pt>
                <c:pt idx="20">
                  <c:v>3935549.75788181</c:v>
                </c:pt>
                <c:pt idx="21">
                  <c:v>3984763.2413865556</c:v>
                </c:pt>
                <c:pt idx="22">
                  <c:v>4027557.5748689431</c:v>
                </c:pt>
                <c:pt idx="23">
                  <c:v>4064770.0387666714</c:v>
                </c:pt>
                <c:pt idx="24">
                  <c:v>4097128.7030255655</c:v>
                </c:pt>
                <c:pt idx="25">
                  <c:v>4125266.671946343</c:v>
                </c:pt>
                <c:pt idx="26">
                  <c:v>4149734.4710078887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FE50-49F1-981D-95B2A9F1114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5750815"/>
        <c:axId val="105753727"/>
      </c:scatterChart>
      <c:valAx>
        <c:axId val="105750815"/>
        <c:scaling>
          <c:orientation val="minMax"/>
          <c:max val="26"/>
          <c:min val="-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Year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5753727"/>
        <c:crossesAt val="0"/>
        <c:crossBetween val="midCat"/>
      </c:valAx>
      <c:valAx>
        <c:axId val="10575372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NPV (US$)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5750815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2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2"/>
    <cs:fontRef idx="minor">
      <a:schemeClr val="tx2"/>
    </cs:fontRef>
    <cs:spPr>
      <a:ln w="9525">
        <a:solidFill>
          <a:schemeClr val="phClr"/>
        </a:solidFill>
        <a:round/>
      </a:ln>
    </cs:spPr>
  </cs:dataPointMarker>
  <cs:dataPointMarkerLayout symbol="circle" size="5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spPr>
      <a:ln>
        <a:solidFill>
          <a:schemeClr val="tx2">
            <a:lumMod val="40000"/>
            <a:lumOff val="60000"/>
          </a:schemeClr>
        </a:solidFill>
      </a:ln>
    </cs:spPr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472440</xdr:colOff>
      <xdr:row>1</xdr:row>
      <xdr:rowOff>133350</xdr:rowOff>
    </xdr:from>
    <xdr:to>
      <xdr:col>20</xdr:col>
      <xdr:colOff>215265</xdr:colOff>
      <xdr:row>4</xdr:row>
      <xdr:rowOff>142876</xdr:rowOff>
    </xdr:to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ED4893D4-5E5E-45C8-BEB6-0E891060EF87}"/>
                </a:ext>
              </a:extLst>
            </xdr:cNvPr>
            <xdr:cNvSpPr txBox="1"/>
          </xdr:nvSpPr>
          <xdr:spPr>
            <a:xfrm>
              <a:off x="13321665" y="314325"/>
              <a:ext cx="2790825" cy="638176"/>
            </a:xfrm>
            <a:prstGeom prst="rect">
              <a:avLst/>
            </a:prstGeom>
            <a:solidFill>
              <a:schemeClr val="lt1"/>
            </a:solidFill>
            <a:ln w="9525" cmpd="sng">
              <a:solidFill>
                <a:schemeClr val="lt1">
                  <a:shade val="50000"/>
                </a:schemeClr>
              </a:solidFill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GB" sz="1100" b="0" i="1" baseline="0">
                        <a:latin typeface="Cambria Math" panose="02040503050406030204" pitchFamily="18" charset="0"/>
                      </a:rPr>
                      <m:t>𝑄</m:t>
                    </m:r>
                    <m:r>
                      <a:rPr lang="en-GB" sz="1100" b="0" i="1" baseline="0">
                        <a:latin typeface="Cambria Math" panose="02040503050406030204" pitchFamily="18" charset="0"/>
                      </a:rPr>
                      <m:t>=</m:t>
                    </m:r>
                    <m:r>
                      <a:rPr lang="en-GB" sz="1100" b="0" i="1" baseline="0">
                        <a:latin typeface="Cambria Math" panose="02040503050406030204" pitchFamily="18" charset="0"/>
                      </a:rPr>
                      <m:t>𝑈</m:t>
                    </m:r>
                    <m:r>
                      <a:rPr lang="en-GB" sz="1100" b="0" i="1" baseline="0">
                        <a:latin typeface="Cambria Math" panose="02040503050406030204" pitchFamily="18" charset="0"/>
                      </a:rPr>
                      <m:t> </m:t>
                    </m:r>
                    <m:r>
                      <a:rPr lang="en-GB" sz="1100" b="0" i="1" baseline="0">
                        <a:latin typeface="Cambria Math" panose="02040503050406030204" pitchFamily="18" charset="0"/>
                      </a:rPr>
                      <m:t>𝐴</m:t>
                    </m:r>
                    <m:r>
                      <a:rPr lang="en-GB" sz="1100" b="0" i="1" baseline="0">
                        <a:latin typeface="Cambria Math" panose="02040503050406030204" pitchFamily="18" charset="0"/>
                      </a:rPr>
                      <m:t> ∆</m:t>
                    </m:r>
                    <m:r>
                      <a:rPr lang="en-GB" sz="1100" b="0" i="1" baseline="0">
                        <a:solidFill>
                          <a:schemeClr val="dk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𝑇</m:t>
                    </m:r>
                  </m:oMath>
                </m:oMathPara>
              </a14:m>
              <a:endParaRPr lang="en-GB" sz="1100" baseline="0"/>
            </a:p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f>
                      <m:fPr>
                        <m:ctrlPr>
                          <a:rPr lang="en-GB" sz="1100" b="0" i="1" baseline="0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en-GB" sz="1100" b="0" i="1" baseline="0">
                            <a:latin typeface="Cambria Math" panose="02040503050406030204" pitchFamily="18" charset="0"/>
                          </a:rPr>
                          <m:t>1</m:t>
                        </m:r>
                      </m:num>
                      <m:den>
                        <m:r>
                          <a:rPr lang="en-GB" sz="1100" b="0" i="1" baseline="0">
                            <a:latin typeface="Cambria Math" panose="02040503050406030204" pitchFamily="18" charset="0"/>
                          </a:rPr>
                          <m:t>𝑈</m:t>
                        </m:r>
                      </m:den>
                    </m:f>
                    <m:r>
                      <a:rPr lang="en-GB" sz="1100" b="0" i="1" baseline="0"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en-GB" sz="1100" b="0" i="1" baseline="0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en-GB" sz="1100" b="0" i="1" baseline="0">
                            <a:latin typeface="Cambria Math" panose="02040503050406030204" pitchFamily="18" charset="0"/>
                          </a:rPr>
                          <m:t>1</m:t>
                        </m:r>
                      </m:num>
                      <m:den>
                        <m:r>
                          <a:rPr lang="en-GB" sz="1100" b="0" i="1" baseline="0">
                            <a:latin typeface="Cambria Math" panose="02040503050406030204" pitchFamily="18" charset="0"/>
                          </a:rPr>
                          <m:t>h</m:t>
                        </m:r>
                        <m:r>
                          <a:rPr lang="en-GB" sz="1100" b="0" i="1" baseline="0">
                            <a:latin typeface="Cambria Math" panose="02040503050406030204" pitchFamily="18" charset="0"/>
                          </a:rPr>
                          <m:t>1</m:t>
                        </m:r>
                      </m:den>
                    </m:f>
                    <m:r>
                      <a:rPr lang="en-GB" sz="1100" b="0" i="1" baseline="0">
                        <a:latin typeface="Cambria Math" panose="02040503050406030204" pitchFamily="18" charset="0"/>
                      </a:rPr>
                      <m:t>+</m:t>
                    </m:r>
                    <m:f>
                      <m:fPr>
                        <m:ctrlPr>
                          <a:rPr lang="en-GB" sz="1100" b="0" i="1" baseline="0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en-GB" sz="1100" b="0" i="1" baseline="0">
                            <a:latin typeface="Cambria Math" panose="02040503050406030204" pitchFamily="18" charset="0"/>
                          </a:rPr>
                          <m:t>𝐿</m:t>
                        </m:r>
                      </m:num>
                      <m:den>
                        <m:r>
                          <m:rPr>
                            <m:sty m:val="p"/>
                          </m:rPr>
                          <a:rPr lang="el-GR" sz="1100" b="0" i="1" baseline="0">
                            <a:latin typeface="Cambria Math" panose="02040503050406030204" pitchFamily="18" charset="0"/>
                          </a:rPr>
                          <m:t>λ</m:t>
                        </m:r>
                      </m:den>
                    </m:f>
                    <m:r>
                      <a:rPr lang="en-GB" sz="1100" b="0" i="1" baseline="0">
                        <a:latin typeface="Cambria Math" panose="02040503050406030204" pitchFamily="18" charset="0"/>
                      </a:rPr>
                      <m:t>+</m:t>
                    </m:r>
                    <m:f>
                      <m:fPr>
                        <m:ctrlPr>
                          <a:rPr lang="en-GB" sz="1100" b="0" i="1" baseline="0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en-GB" sz="1100" b="0" i="1" baseline="0">
                            <a:latin typeface="Cambria Math" panose="02040503050406030204" pitchFamily="18" charset="0"/>
                          </a:rPr>
                          <m:t>1</m:t>
                        </m:r>
                      </m:num>
                      <m:den>
                        <m:r>
                          <a:rPr lang="en-GB" sz="1100" b="0" i="1" baseline="0">
                            <a:latin typeface="Cambria Math" panose="02040503050406030204" pitchFamily="18" charset="0"/>
                          </a:rPr>
                          <m:t>h</m:t>
                        </m:r>
                        <m:r>
                          <a:rPr lang="en-GB" sz="1100" b="0" i="1" baseline="0">
                            <a:latin typeface="Cambria Math" panose="02040503050406030204" pitchFamily="18" charset="0"/>
                          </a:rPr>
                          <m:t>2</m:t>
                        </m:r>
                      </m:den>
                    </m:f>
                  </m:oMath>
                </m:oMathPara>
              </a14:m>
              <a:endParaRPr lang="en-GB" sz="1100" b="0" baseline="0"/>
            </a:p>
            <a:p>
              <a:endParaRPr lang="en-GB" sz="1100" baseline="0"/>
            </a:p>
            <a:p>
              <a:endParaRPr lang="en-GB" sz="1100" baseline="0"/>
            </a:p>
          </xdr:txBody>
        </xdr:sp>
      </mc:Choice>
      <mc:Fallback xmlns="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ED4893D4-5E5E-45C8-BEB6-0E891060EF87}"/>
                </a:ext>
              </a:extLst>
            </xdr:cNvPr>
            <xdr:cNvSpPr txBox="1"/>
          </xdr:nvSpPr>
          <xdr:spPr>
            <a:xfrm>
              <a:off x="13321665" y="314325"/>
              <a:ext cx="2790825" cy="638176"/>
            </a:xfrm>
            <a:prstGeom prst="rect">
              <a:avLst/>
            </a:prstGeom>
            <a:solidFill>
              <a:schemeClr val="lt1"/>
            </a:solidFill>
            <a:ln w="9525" cmpd="sng">
              <a:solidFill>
                <a:schemeClr val="lt1">
                  <a:shade val="50000"/>
                </a:schemeClr>
              </a:solidFill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pPr/>
              <a:r>
                <a:rPr lang="en-GB" sz="1100" b="0" i="0" baseline="0">
                  <a:latin typeface="Cambria Math" panose="02040503050406030204" pitchFamily="18" charset="0"/>
                </a:rPr>
                <a:t>𝑄=𝑈 𝐴 ∆</a:t>
              </a:r>
              <a:r>
                <a:rPr lang="en-GB" sz="1100" b="0" i="0" baseline="0">
                  <a:solidFill>
                    <a:schemeClr val="dk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𝑇</a:t>
              </a:r>
              <a:endParaRPr lang="en-GB" sz="1100" baseline="0"/>
            </a:p>
            <a:p>
              <a:pPr/>
              <a:r>
                <a:rPr lang="en-GB" sz="1100" b="0" i="0" baseline="0">
                  <a:latin typeface="Cambria Math" panose="02040503050406030204" pitchFamily="18" charset="0"/>
                </a:rPr>
                <a:t>1/𝑈=1/ℎ1+𝐿/</a:t>
              </a:r>
              <a:r>
                <a:rPr lang="el-GR" sz="1100" b="0" i="0" baseline="0">
                  <a:latin typeface="Cambria Math" panose="02040503050406030204" pitchFamily="18" charset="0"/>
                </a:rPr>
                <a:t>λ</a:t>
              </a:r>
              <a:r>
                <a:rPr lang="en-GB" sz="1100" b="0" i="0" baseline="0">
                  <a:latin typeface="Cambria Math" panose="02040503050406030204" pitchFamily="18" charset="0"/>
                </a:rPr>
                <a:t>+1/ℎ2</a:t>
              </a:r>
              <a:endParaRPr lang="en-GB" sz="1100" b="0" baseline="0"/>
            </a:p>
            <a:p>
              <a:endParaRPr lang="en-GB" sz="1100" baseline="0"/>
            </a:p>
            <a:p>
              <a:endParaRPr lang="en-GB" sz="1100" baseline="0"/>
            </a:p>
          </xdr:txBody>
        </xdr:sp>
      </mc:Fallback>
    </mc:AlternateContent>
    <xdr:clientData/>
  </xdr:twoCellAnchor>
  <xdr:twoCellAnchor>
    <xdr:from>
      <xdr:col>0</xdr:col>
      <xdr:colOff>0</xdr:colOff>
      <xdr:row>17</xdr:row>
      <xdr:rowOff>179070</xdr:rowOff>
    </xdr:from>
    <xdr:to>
      <xdr:col>3</xdr:col>
      <xdr:colOff>579120</xdr:colOff>
      <xdr:row>25</xdr:row>
      <xdr:rowOff>148590</xdr:rowOff>
    </xdr:to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589CC5A2-6B96-4EA1-B3B1-8B88B28E5431}"/>
                </a:ext>
              </a:extLst>
            </xdr:cNvPr>
            <xdr:cNvSpPr txBox="1"/>
          </xdr:nvSpPr>
          <xdr:spPr>
            <a:xfrm>
              <a:off x="0" y="3484245"/>
              <a:ext cx="3217545" cy="1493520"/>
            </a:xfrm>
            <a:prstGeom prst="rect">
              <a:avLst/>
            </a:prstGeom>
            <a:solidFill>
              <a:schemeClr val="lt1"/>
            </a:solidFill>
            <a:ln w="9525" cmpd="sng">
              <a:solidFill>
                <a:schemeClr val="lt1">
                  <a:shade val="50000"/>
                </a:schemeClr>
              </a:solidFill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GB" sz="1100" b="0" i="1" baseline="0">
                        <a:latin typeface="Cambria Math" panose="02040503050406030204" pitchFamily="18" charset="0"/>
                      </a:rPr>
                      <m:t>𝐴𝑟𝑒𝑎</m:t>
                    </m:r>
                    <m:r>
                      <a:rPr lang="en-GB" sz="1100" b="0" i="1" baseline="0">
                        <a:latin typeface="Cambria Math" panose="02040503050406030204" pitchFamily="18" charset="0"/>
                      </a:rPr>
                      <m:t> </m:t>
                    </m:r>
                    <m:r>
                      <a:rPr lang="en-GB" sz="1100" b="0" i="1" baseline="0">
                        <a:latin typeface="Cambria Math" panose="02040503050406030204" pitchFamily="18" charset="0"/>
                      </a:rPr>
                      <m:t>𝑜𝑓</m:t>
                    </m:r>
                    <m:r>
                      <a:rPr lang="en-GB" sz="1100" b="0" i="1" baseline="0">
                        <a:latin typeface="Cambria Math" panose="02040503050406030204" pitchFamily="18" charset="0"/>
                      </a:rPr>
                      <m:t> </m:t>
                    </m:r>
                    <m:r>
                      <a:rPr lang="en-GB" sz="1100" b="0" i="1" baseline="0">
                        <a:latin typeface="Cambria Math" panose="02040503050406030204" pitchFamily="18" charset="0"/>
                      </a:rPr>
                      <m:t>𝑐𝑖𝑙𝑖𝑛𝑑𝑒𝑟</m:t>
                    </m:r>
                    <m:r>
                      <a:rPr lang="en-GB" sz="1100" b="0" i="1" baseline="0">
                        <a:latin typeface="Cambria Math" panose="02040503050406030204" pitchFamily="18" charset="0"/>
                      </a:rPr>
                      <m:t>=</m:t>
                    </m:r>
                    <m:r>
                      <m:rPr>
                        <m:sty m:val="p"/>
                      </m:rPr>
                      <a:rPr lang="el-GR" sz="1100" b="0" i="1" baseline="0">
                        <a:latin typeface="Cambria Math" panose="02040503050406030204" pitchFamily="18" charset="0"/>
                      </a:rPr>
                      <m:t>π</m:t>
                    </m:r>
                    <m:r>
                      <a:rPr lang="en-GB" sz="1100" b="0" i="1" baseline="0">
                        <a:latin typeface="Cambria Math" panose="02040503050406030204" pitchFamily="18" charset="0"/>
                      </a:rPr>
                      <m:t>𝐷𝐻</m:t>
                    </m:r>
                  </m:oMath>
                </m:oMathPara>
              </a14:m>
              <a:endParaRPr lang="en-GB" sz="1100" b="0" baseline="0"/>
            </a:p>
            <a:p>
              <a:pPr marL="0" marR="0" lvl="0" indent="0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GB" sz="1100" b="0" i="1" baseline="0">
                        <a:solidFill>
                          <a:schemeClr val="dk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𝑉𝑜𝑙𝑢𝑚𝑒</m:t>
                    </m:r>
                    <m:r>
                      <a:rPr lang="en-GB" sz="1100" b="0" i="1" baseline="0">
                        <a:solidFill>
                          <a:schemeClr val="dk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en-GB" sz="1100" b="0" i="1" baseline="0">
                        <a:solidFill>
                          <a:schemeClr val="dk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𝑜𝑓</m:t>
                    </m:r>
                    <m:r>
                      <a:rPr lang="en-GB" sz="1100" b="0" i="1" baseline="0">
                        <a:solidFill>
                          <a:schemeClr val="dk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en-GB" sz="1100" b="0" i="1" baseline="0">
                        <a:solidFill>
                          <a:schemeClr val="dk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𝑐𝑖𝑙𝑖𝑛𝑑𝑒𝑟</m:t>
                    </m:r>
                    <m:r>
                      <a:rPr lang="en-GB" sz="1100" b="0" i="1" baseline="0">
                        <a:solidFill>
                          <a:schemeClr val="dk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=</m:t>
                    </m:r>
                    <m:r>
                      <m:rPr>
                        <m:sty m:val="p"/>
                      </m:rPr>
                      <a:rPr lang="el-GR" sz="1100" b="0" i="1" baseline="0">
                        <a:solidFill>
                          <a:schemeClr val="dk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π</m:t>
                    </m:r>
                    <m:r>
                      <a:rPr lang="en-GB" sz="1100" b="0" i="1" baseline="0">
                        <a:solidFill>
                          <a:schemeClr val="dk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f>
                      <m:fPr>
                        <m:ctrlPr>
                          <a:rPr lang="en-GB" sz="1100" b="0" i="1" baseline="0">
                            <a:solidFill>
                              <a:schemeClr val="dk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fPr>
                      <m:num>
                        <m:r>
                          <a:rPr lang="en-GB" sz="1100" b="0" i="1" baseline="0">
                            <a:solidFill>
                              <a:schemeClr val="dk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𝐷</m:t>
                        </m:r>
                      </m:num>
                      <m:den>
                        <m:r>
                          <a:rPr lang="en-GB" sz="1100" b="0" i="1" baseline="0">
                            <a:solidFill>
                              <a:schemeClr val="dk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2</m:t>
                        </m:r>
                      </m:den>
                    </m:f>
                    <m:r>
                      <a:rPr lang="en-GB" sz="1100" b="0" i="1" baseline="0">
                        <a:solidFill>
                          <a:schemeClr val="dk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)^2</m:t>
                    </m:r>
                    <m:r>
                      <a:rPr lang="en-GB" sz="1100" b="0" i="1" baseline="0">
                        <a:solidFill>
                          <a:schemeClr val="dk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𝐻</m:t>
                    </m:r>
                  </m:oMath>
                </m:oMathPara>
              </a14:m>
              <a:endParaRPr lang="en-GB">
                <a:effectLst/>
              </a:endParaRPr>
            </a:p>
            <a:p>
              <a:endParaRPr lang="en-GB" sz="1100" baseline="0"/>
            </a:p>
            <a:p>
              <a:pPr marL="0" marR="0" lvl="0" indent="0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GB" sz="1100" b="0" i="1" baseline="0">
                        <a:solidFill>
                          <a:schemeClr val="dk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𝐴𝑟𝑒𝑎</m:t>
                    </m:r>
                    <m:r>
                      <a:rPr lang="en-GB" sz="1100" b="0" i="1" baseline="0">
                        <a:solidFill>
                          <a:schemeClr val="dk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en-GB" sz="1100" b="0" i="1" baseline="0">
                        <a:solidFill>
                          <a:schemeClr val="dk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𝑜𝑓</m:t>
                    </m:r>
                    <m:r>
                      <a:rPr lang="en-GB" sz="1100" b="0" i="1" baseline="0">
                        <a:solidFill>
                          <a:schemeClr val="dk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r>
                      <a:rPr lang="en-GB" sz="1100" b="0" i="1" baseline="0">
                        <a:solidFill>
                          <a:schemeClr val="dk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𝑐𝑖𝑟𝑐𝑙𝑒</m:t>
                    </m:r>
                    <m:r>
                      <a:rPr lang="en-GB" sz="1100" b="0" i="1" baseline="0">
                        <a:solidFill>
                          <a:schemeClr val="dk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=</m:t>
                    </m:r>
                    <m:r>
                      <m:rPr>
                        <m:sty m:val="p"/>
                      </m:rPr>
                      <a:rPr lang="el-GR" sz="1100" b="0" i="1" baseline="0">
                        <a:solidFill>
                          <a:schemeClr val="dk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π</m:t>
                    </m:r>
                    <m:r>
                      <a:rPr lang="en-GB" sz="1100" b="0" i="1" baseline="0">
                        <a:solidFill>
                          <a:schemeClr val="dk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(</m:t>
                    </m:r>
                    <m:f>
                      <m:fPr>
                        <m:ctrlPr>
                          <a:rPr lang="en-GB" sz="1100" b="0" i="1" baseline="0">
                            <a:solidFill>
                              <a:schemeClr val="dk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fPr>
                      <m:num>
                        <m:r>
                          <a:rPr lang="en-GB" sz="1100" b="0" i="1" baseline="0">
                            <a:solidFill>
                              <a:schemeClr val="dk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𝐷</m:t>
                        </m:r>
                      </m:num>
                      <m:den>
                        <m:r>
                          <a:rPr lang="en-GB" sz="1100" b="0" i="1" baseline="0">
                            <a:solidFill>
                              <a:schemeClr val="dk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2</m:t>
                        </m:r>
                      </m:den>
                    </m:f>
                    <m:r>
                      <a:rPr lang="en-GB" sz="1100" b="0" i="1" baseline="0">
                        <a:solidFill>
                          <a:schemeClr val="dk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)^2</m:t>
                    </m:r>
                  </m:oMath>
                </m:oMathPara>
              </a14:m>
              <a:endParaRPr lang="en-GB">
                <a:effectLst/>
              </a:endParaRPr>
            </a:p>
            <a:p>
              <a:endParaRPr lang="en-GB" sz="1100" baseline="0"/>
            </a:p>
          </xdr:txBody>
        </xdr:sp>
      </mc:Choice>
      <mc:Fallback xmlns="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589CC5A2-6B96-4EA1-B3B1-8B88B28E5431}"/>
                </a:ext>
              </a:extLst>
            </xdr:cNvPr>
            <xdr:cNvSpPr txBox="1"/>
          </xdr:nvSpPr>
          <xdr:spPr>
            <a:xfrm>
              <a:off x="0" y="3484245"/>
              <a:ext cx="3217545" cy="1493520"/>
            </a:xfrm>
            <a:prstGeom prst="rect">
              <a:avLst/>
            </a:prstGeom>
            <a:solidFill>
              <a:schemeClr val="lt1"/>
            </a:solidFill>
            <a:ln w="9525" cmpd="sng">
              <a:solidFill>
                <a:schemeClr val="lt1">
                  <a:shade val="50000"/>
                </a:schemeClr>
              </a:solidFill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pPr/>
              <a:r>
                <a:rPr lang="en-GB" sz="1100" b="0" i="0" baseline="0">
                  <a:latin typeface="Cambria Math" panose="02040503050406030204" pitchFamily="18" charset="0"/>
                </a:rPr>
                <a:t>𝐴𝑟𝑒𝑎 𝑜𝑓 𝑐𝑖𝑙𝑖𝑛𝑑𝑒𝑟=</a:t>
              </a:r>
              <a:r>
                <a:rPr lang="el-GR" sz="1100" b="0" i="0" baseline="0">
                  <a:latin typeface="Cambria Math" panose="02040503050406030204" pitchFamily="18" charset="0"/>
                </a:rPr>
                <a:t>π</a:t>
              </a:r>
              <a:r>
                <a:rPr lang="en-GB" sz="1100" b="0" i="0" baseline="0">
                  <a:latin typeface="Cambria Math" panose="02040503050406030204" pitchFamily="18" charset="0"/>
                </a:rPr>
                <a:t>𝐷𝐻</a:t>
              </a:r>
              <a:endParaRPr lang="en-GB" sz="1100" b="0" baseline="0"/>
            </a:p>
            <a:p>
              <a:pPr marL="0" marR="0" lvl="0" indent="0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GB" sz="1100" b="0" i="0" baseline="0">
                  <a:solidFill>
                    <a:schemeClr val="dk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𝑉𝑜𝑙𝑢𝑚𝑒 𝑜𝑓 𝑐𝑖𝑙𝑖𝑛𝑑𝑒𝑟=</a:t>
              </a:r>
              <a:r>
                <a:rPr lang="el-GR" sz="1100" b="0" i="0" baseline="0">
                  <a:solidFill>
                    <a:schemeClr val="dk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π</a:t>
              </a:r>
              <a:r>
                <a:rPr lang="en-GB" sz="1100" b="0" i="0" baseline="0">
                  <a:solidFill>
                    <a:schemeClr val="dk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(𝐷/2)^2𝐻</a:t>
              </a:r>
              <a:endParaRPr lang="en-GB">
                <a:effectLst/>
              </a:endParaRPr>
            </a:p>
            <a:p>
              <a:endParaRPr lang="en-GB" sz="1100" baseline="0"/>
            </a:p>
            <a:p>
              <a:pPr marL="0" marR="0" lvl="0" indent="0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GB" sz="1100" b="0" i="0" baseline="0">
                  <a:solidFill>
                    <a:schemeClr val="dk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𝐴𝑟𝑒𝑎 𝑜𝑓 𝑐𝑖𝑟𝑐𝑙𝑒=</a:t>
              </a:r>
              <a:r>
                <a:rPr lang="el-GR" sz="1100" b="0" i="0" baseline="0">
                  <a:solidFill>
                    <a:schemeClr val="dk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π</a:t>
              </a:r>
              <a:r>
                <a:rPr lang="en-GB" sz="1100" b="0" i="0" baseline="0">
                  <a:solidFill>
                    <a:schemeClr val="dk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(𝐷/2)^2</a:t>
              </a:r>
              <a:endParaRPr lang="en-GB">
                <a:effectLst/>
              </a:endParaRPr>
            </a:p>
            <a:p>
              <a:endParaRPr lang="en-GB" sz="1100" baseline="0"/>
            </a:p>
          </xdr:txBody>
        </xdr:sp>
      </mc:Fallback>
    </mc:AlternateContent>
    <xdr:clientData/>
  </xdr:twoCellAnchor>
  <xdr:twoCellAnchor>
    <xdr:from>
      <xdr:col>15</xdr:col>
      <xdr:colOff>97155</xdr:colOff>
      <xdr:row>33</xdr:row>
      <xdr:rowOff>30481</xdr:rowOff>
    </xdr:from>
    <xdr:to>
      <xdr:col>19</xdr:col>
      <xdr:colOff>455295</xdr:colOff>
      <xdr:row>35</xdr:row>
      <xdr:rowOff>169546</xdr:rowOff>
    </xdr:to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TextBox 4">
              <a:extLst>
                <a:ext uri="{FF2B5EF4-FFF2-40B4-BE49-F238E27FC236}">
                  <a16:creationId xmlns:a16="http://schemas.microsoft.com/office/drawing/2014/main" id="{90B5D078-563E-4734-B4E6-BC0914983142}"/>
                </a:ext>
              </a:extLst>
            </xdr:cNvPr>
            <xdr:cNvSpPr txBox="1"/>
          </xdr:nvSpPr>
          <xdr:spPr>
            <a:xfrm>
              <a:off x="12693015" y="6576061"/>
              <a:ext cx="2796540" cy="329565"/>
            </a:xfrm>
            <a:prstGeom prst="rect">
              <a:avLst/>
            </a:prstGeom>
            <a:solidFill>
              <a:schemeClr val="lt1"/>
            </a:solidFill>
            <a:ln w="9525" cmpd="sng">
              <a:solidFill>
                <a:schemeClr val="lt1">
                  <a:shade val="50000"/>
                </a:schemeClr>
              </a:solidFill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GB" sz="1100" b="0" i="1" baseline="0">
                        <a:latin typeface="Cambria Math" panose="02040503050406030204" pitchFamily="18" charset="0"/>
                      </a:rPr>
                      <m:t>𝑄</m:t>
                    </m:r>
                    <m:r>
                      <a:rPr lang="en-GB" sz="1100" b="0" i="1" baseline="0">
                        <a:latin typeface="Cambria Math" panose="02040503050406030204" pitchFamily="18" charset="0"/>
                      </a:rPr>
                      <m:t>=</m:t>
                    </m:r>
                    <m:r>
                      <a:rPr lang="en-GB" sz="1100" b="0" i="1" baseline="0">
                        <a:latin typeface="Cambria Math" panose="02040503050406030204" pitchFamily="18" charset="0"/>
                      </a:rPr>
                      <m:t>𝑈</m:t>
                    </m:r>
                    <m:r>
                      <a:rPr lang="en-GB" sz="1100" b="0" i="1" baseline="0">
                        <a:latin typeface="Cambria Math" panose="02040503050406030204" pitchFamily="18" charset="0"/>
                      </a:rPr>
                      <m:t> </m:t>
                    </m:r>
                    <m:r>
                      <a:rPr lang="en-GB" sz="1100" b="0" i="1" baseline="0">
                        <a:latin typeface="Cambria Math" panose="02040503050406030204" pitchFamily="18" charset="0"/>
                      </a:rPr>
                      <m:t>𝐴</m:t>
                    </m:r>
                    <m:r>
                      <a:rPr lang="en-GB" sz="1100" b="0" i="1" baseline="0">
                        <a:latin typeface="Cambria Math" panose="02040503050406030204" pitchFamily="18" charset="0"/>
                      </a:rPr>
                      <m:t> ∆</m:t>
                    </m:r>
                    <m:r>
                      <a:rPr lang="en-GB" sz="1100" b="0" i="1" baseline="0">
                        <a:solidFill>
                          <a:schemeClr val="dk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𝑇𝑙𝑛</m:t>
                    </m:r>
                  </m:oMath>
                </m:oMathPara>
              </a14:m>
              <a:endParaRPr lang="en-GB" sz="1100" baseline="0"/>
            </a:p>
            <a:p>
              <a:endParaRPr lang="en-GB" sz="1100" b="0" baseline="0"/>
            </a:p>
            <a:p>
              <a:endParaRPr lang="en-GB" sz="1100" baseline="0"/>
            </a:p>
            <a:p>
              <a:endParaRPr lang="en-GB" sz="1100" baseline="0"/>
            </a:p>
          </xdr:txBody>
        </xdr:sp>
      </mc:Choice>
      <mc:Fallback xmlns="">
        <xdr:sp macro="" textlink="">
          <xdr:nvSpPr>
            <xdr:cNvPr id="5" name="TextBox 4">
              <a:extLst>
                <a:ext uri="{FF2B5EF4-FFF2-40B4-BE49-F238E27FC236}">
                  <a16:creationId xmlns:a16="http://schemas.microsoft.com/office/drawing/2014/main" id="{90B5D078-563E-4734-B4E6-BC0914983142}"/>
                </a:ext>
              </a:extLst>
            </xdr:cNvPr>
            <xdr:cNvSpPr txBox="1"/>
          </xdr:nvSpPr>
          <xdr:spPr>
            <a:xfrm>
              <a:off x="12693015" y="6576061"/>
              <a:ext cx="2796540" cy="329565"/>
            </a:xfrm>
            <a:prstGeom prst="rect">
              <a:avLst/>
            </a:prstGeom>
            <a:solidFill>
              <a:schemeClr val="lt1"/>
            </a:solidFill>
            <a:ln w="9525" cmpd="sng">
              <a:solidFill>
                <a:schemeClr val="lt1">
                  <a:shade val="50000"/>
                </a:schemeClr>
              </a:solidFill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pPr/>
              <a:r>
                <a:rPr lang="en-GB" sz="1100" b="0" i="0" baseline="0">
                  <a:latin typeface="Cambria Math" panose="02040503050406030204" pitchFamily="18" charset="0"/>
                </a:rPr>
                <a:t>𝑄=𝑈 𝐴 ∆</a:t>
              </a:r>
              <a:r>
                <a:rPr lang="en-GB" sz="1100" b="0" i="0" baseline="0">
                  <a:solidFill>
                    <a:schemeClr val="dk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𝑇𝑙𝑛</a:t>
              </a:r>
              <a:endParaRPr lang="en-GB" sz="1100" baseline="0"/>
            </a:p>
            <a:p>
              <a:endParaRPr lang="en-GB" sz="1100" b="0" baseline="0"/>
            </a:p>
            <a:p>
              <a:endParaRPr lang="en-GB" sz="1100" baseline="0"/>
            </a:p>
            <a:p>
              <a:endParaRPr lang="en-GB" sz="1100" baseline="0"/>
            </a:p>
          </xdr:txBody>
        </xdr:sp>
      </mc:Fallback>
    </mc:AlternateContent>
    <xdr:clientData/>
  </xdr:twoCellAnchor>
  <xdr:twoCellAnchor editAs="oneCell">
    <xdr:from>
      <xdr:col>15</xdr:col>
      <xdr:colOff>480059</xdr:colOff>
      <xdr:row>36</xdr:row>
      <xdr:rowOff>0</xdr:rowOff>
    </xdr:from>
    <xdr:to>
      <xdr:col>19</xdr:col>
      <xdr:colOff>262283</xdr:colOff>
      <xdr:row>40</xdr:row>
      <xdr:rowOff>80010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E11EEA3E-F1C7-4D21-B323-A694F7937B4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075919" y="7111364"/>
          <a:ext cx="2205384" cy="849630"/>
        </a:xfrm>
        <a:prstGeom prst="rect">
          <a:avLst/>
        </a:prstGeom>
      </xdr:spPr>
    </xdr:pic>
    <xdr:clientData/>
  </xdr:twoCellAnchor>
  <xdr:twoCellAnchor>
    <xdr:from>
      <xdr:col>15</xdr:col>
      <xdr:colOff>390525</xdr:colOff>
      <xdr:row>5</xdr:row>
      <xdr:rowOff>186690</xdr:rowOff>
    </xdr:from>
    <xdr:to>
      <xdr:col>22</xdr:col>
      <xdr:colOff>22860</xdr:colOff>
      <xdr:row>12</xdr:row>
      <xdr:rowOff>123825</xdr:rowOff>
    </xdr:to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7" name="TextBox 6">
              <a:extLst>
                <a:ext uri="{FF2B5EF4-FFF2-40B4-BE49-F238E27FC236}">
                  <a16:creationId xmlns:a16="http://schemas.microsoft.com/office/drawing/2014/main" id="{360A89A7-6779-4F26-88E3-5EBAA1418C43}"/>
                </a:ext>
              </a:extLst>
            </xdr:cNvPr>
            <xdr:cNvSpPr txBox="1"/>
          </xdr:nvSpPr>
          <xdr:spPr>
            <a:xfrm>
              <a:off x="12986385" y="1215390"/>
              <a:ext cx="3899535" cy="1263015"/>
            </a:xfrm>
            <a:prstGeom prst="rect">
              <a:avLst/>
            </a:prstGeom>
            <a:solidFill>
              <a:schemeClr val="lt1"/>
            </a:solidFill>
            <a:ln w="9525" cmpd="sng">
              <a:solidFill>
                <a:schemeClr val="lt1">
                  <a:shade val="50000"/>
                </a:schemeClr>
              </a:solidFill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GB" sz="1100" b="0" i="1" baseline="0">
                        <a:latin typeface="Cambria Math" panose="02040503050406030204" pitchFamily="18" charset="0"/>
                      </a:rPr>
                      <m:t>𝑅𝑒𝑓𝑒𝑟𝑒𝑛𝑐𝑒𝑠</m:t>
                    </m:r>
                    <m:r>
                      <a:rPr lang="en-GB" sz="1100" b="0" i="1" baseline="0">
                        <a:latin typeface="Cambria Math" panose="02040503050406030204" pitchFamily="18" charset="0"/>
                      </a:rPr>
                      <m:t>: </m:t>
                    </m:r>
                  </m:oMath>
                </m:oMathPara>
              </a14:m>
              <a:endParaRPr lang="en-GB" sz="1100" b="0" baseline="0"/>
            </a:p>
            <a:p>
              <a:r>
                <a:rPr lang="en-GB" sz="1100" b="0" baseline="0"/>
                <a:t>1. Heat transfer equpment 1987 Ganapathy (coulson and richardson vol 6) </a:t>
              </a:r>
            </a:p>
            <a:p>
              <a:r>
                <a:rPr lang="en-GB" sz="1100" b="0" baseline="0"/>
                <a:t>2. Soil Thermal Conductivity Effects of Density, Moisture, Salt Concentration, and Organic Matter 2000 Abu-Hamdeh, Nidal H.</a:t>
              </a:r>
            </a:p>
            <a:p>
              <a:endParaRPr lang="en-GB" sz="1100" baseline="0"/>
            </a:p>
            <a:p>
              <a:endParaRPr lang="en-GB" sz="1100" baseline="0"/>
            </a:p>
          </xdr:txBody>
        </xdr:sp>
      </mc:Choice>
      <mc:Fallback xmlns="">
        <xdr:sp macro="" textlink="">
          <xdr:nvSpPr>
            <xdr:cNvPr id="7" name="TextBox 6">
              <a:extLst>
                <a:ext uri="{FF2B5EF4-FFF2-40B4-BE49-F238E27FC236}">
                  <a16:creationId xmlns:a16="http://schemas.microsoft.com/office/drawing/2014/main" id="{360A89A7-6779-4F26-88E3-5EBAA1418C43}"/>
                </a:ext>
              </a:extLst>
            </xdr:cNvPr>
            <xdr:cNvSpPr txBox="1"/>
          </xdr:nvSpPr>
          <xdr:spPr>
            <a:xfrm>
              <a:off x="12986385" y="1215390"/>
              <a:ext cx="3899535" cy="1263015"/>
            </a:xfrm>
            <a:prstGeom prst="rect">
              <a:avLst/>
            </a:prstGeom>
            <a:solidFill>
              <a:schemeClr val="lt1"/>
            </a:solidFill>
            <a:ln w="9525" cmpd="sng">
              <a:solidFill>
                <a:schemeClr val="lt1">
                  <a:shade val="50000"/>
                </a:schemeClr>
              </a:solidFill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pPr/>
              <a:r>
                <a:rPr lang="en-GB" sz="1100" b="0" i="0" baseline="0">
                  <a:latin typeface="Cambria Math" panose="02040503050406030204" pitchFamily="18" charset="0"/>
                </a:rPr>
                <a:t>𝑅𝑒𝑓𝑒𝑟𝑒𝑛𝑐𝑒𝑠: </a:t>
              </a:r>
              <a:endParaRPr lang="en-GB" sz="1100" b="0" baseline="0"/>
            </a:p>
            <a:p>
              <a:r>
                <a:rPr lang="en-GB" sz="1100" b="0" baseline="0"/>
                <a:t>1. Heat transfer equpment 1987 Ganapathy (coulson and richardson vol 6) </a:t>
              </a:r>
            </a:p>
            <a:p>
              <a:r>
                <a:rPr lang="en-GB" sz="1100" b="0" baseline="0"/>
                <a:t>2. Soil Thermal Conductivity Effects of Density, Moisture, Salt Concentration, and Organic Matter 2000 Abu-Hamdeh, Nidal H.</a:t>
              </a:r>
            </a:p>
            <a:p>
              <a:endParaRPr lang="en-GB" sz="1100" baseline="0"/>
            </a:p>
            <a:p>
              <a:endParaRPr lang="en-GB" sz="1100" baseline="0"/>
            </a:p>
          </xdr:txBody>
        </xdr:sp>
      </mc:Fallback>
    </mc:AlternateContent>
    <xdr:clientData/>
  </xdr:twoCellAnchor>
  <xdr:twoCellAnchor editAs="oneCell">
    <xdr:from>
      <xdr:col>14</xdr:col>
      <xdr:colOff>612637</xdr:colOff>
      <xdr:row>46</xdr:row>
      <xdr:rowOff>41910</xdr:rowOff>
    </xdr:from>
    <xdr:to>
      <xdr:col>20</xdr:col>
      <xdr:colOff>568445</xdr:colOff>
      <xdr:row>61</xdr:row>
      <xdr:rowOff>33459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72370A9C-C43B-4FA5-BC73-03DF7A76864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3254217" y="8362950"/>
          <a:ext cx="3704848" cy="2727129"/>
        </a:xfrm>
        <a:prstGeom prst="rect">
          <a:avLst/>
        </a:prstGeom>
      </xdr:spPr>
    </xdr:pic>
    <xdr:clientData/>
  </xdr:twoCellAnchor>
  <xdr:twoCellAnchor editAs="oneCell">
    <xdr:from>
      <xdr:col>2</xdr:col>
      <xdr:colOff>685800</xdr:colOff>
      <xdr:row>26</xdr:row>
      <xdr:rowOff>152400</xdr:rowOff>
    </xdr:from>
    <xdr:to>
      <xdr:col>4</xdr:col>
      <xdr:colOff>575134</xdr:colOff>
      <xdr:row>29</xdr:row>
      <xdr:rowOff>3761</xdr:rowOff>
    </xdr:to>
    <xdr:pic>
      <xdr:nvPicPr>
        <xdr:cNvPr id="9" name="Picture 8">
          <a:extLst>
            <a:ext uri="{FF2B5EF4-FFF2-40B4-BE49-F238E27FC236}">
              <a16:creationId xmlns:a16="http://schemas.microsoft.com/office/drawing/2014/main" id="{E579FBF2-9C73-48D9-8986-405301DE278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990725" y="5124450"/>
          <a:ext cx="1413334" cy="38095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16</xdr:row>
      <xdr:rowOff>83820</xdr:rowOff>
    </xdr:from>
    <xdr:to>
      <xdr:col>0</xdr:col>
      <xdr:colOff>1413334</xdr:colOff>
      <xdr:row>18</xdr:row>
      <xdr:rowOff>118061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E9A3B92E-537F-47B0-8F71-3121E54DE06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2727960"/>
          <a:ext cx="1413334" cy="400001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1508760</xdr:colOff>
      <xdr:row>55</xdr:row>
      <xdr:rowOff>171450</xdr:rowOff>
    </xdr:from>
    <xdr:to>
      <xdr:col>3</xdr:col>
      <xdr:colOff>929640</xdr:colOff>
      <xdr:row>70</xdr:row>
      <xdr:rowOff>171450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2E650B1-0CD4-492E-B479-099BC54CAC4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449580</xdr:colOff>
      <xdr:row>2</xdr:row>
      <xdr:rowOff>175260</xdr:rowOff>
    </xdr:from>
    <xdr:to>
      <xdr:col>16</xdr:col>
      <xdr:colOff>144780</xdr:colOff>
      <xdr:row>21</xdr:row>
      <xdr:rowOff>22860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5E166F7-8BC4-187A-4802-2DA4D1B2D0E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s://core.ac.uk/download/pdf/78558705.pdf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O67"/>
  <sheetViews>
    <sheetView workbookViewId="0">
      <selection activeCell="G5" sqref="G5"/>
    </sheetView>
  </sheetViews>
  <sheetFormatPr defaultRowHeight="14.4" x14ac:dyDescent="0.3"/>
  <cols>
    <col min="1" max="1" width="15" customWidth="1"/>
    <col min="2" max="2" width="16.109375" bestFit="1" customWidth="1"/>
    <col min="3" max="3" width="13.33203125" customWidth="1"/>
    <col min="6" max="6" width="15.33203125" customWidth="1"/>
    <col min="7" max="7" width="10.88671875" customWidth="1"/>
    <col min="8" max="8" width="14.33203125" customWidth="1"/>
    <col min="11" max="11" width="25.6640625" customWidth="1"/>
    <col min="12" max="12" width="12.5546875" bestFit="1" customWidth="1"/>
    <col min="13" max="13" width="21.5546875" customWidth="1"/>
    <col min="14" max="14" width="12.6640625" customWidth="1"/>
    <col min="15" max="15" width="10.33203125" customWidth="1"/>
  </cols>
  <sheetData>
    <row r="2" spans="1:15" ht="20.399999999999999" thickBot="1" x14ac:dyDescent="0.45">
      <c r="A2" s="4" t="s">
        <v>0</v>
      </c>
      <c r="B2" s="5">
        <v>18000</v>
      </c>
      <c r="C2" s="4" t="s">
        <v>1</v>
      </c>
      <c r="F2" s="55" t="s">
        <v>12</v>
      </c>
      <c r="G2" s="55"/>
      <c r="H2" s="55"/>
      <c r="I2" s="55"/>
      <c r="K2" s="55" t="s">
        <v>34</v>
      </c>
      <c r="L2" s="55"/>
      <c r="M2" s="55"/>
      <c r="N2" s="56"/>
      <c r="O2" s="56"/>
    </row>
    <row r="3" spans="1:15" ht="15" thickTop="1" x14ac:dyDescent="0.3">
      <c r="A3" s="1" t="s">
        <v>0</v>
      </c>
      <c r="B3" s="3">
        <f>B2/365</f>
        <v>49.315068493150683</v>
      </c>
      <c r="C3" s="1" t="s">
        <v>2</v>
      </c>
      <c r="K3" s="12" t="s">
        <v>43</v>
      </c>
      <c r="N3" s="15" t="s">
        <v>101</v>
      </c>
      <c r="O3" s="15" t="s">
        <v>100</v>
      </c>
    </row>
    <row r="4" spans="1:15" x14ac:dyDescent="0.3">
      <c r="A4" s="4" t="s">
        <v>5</v>
      </c>
      <c r="B4" s="6">
        <v>0.3</v>
      </c>
      <c r="C4" s="4" t="s">
        <v>6</v>
      </c>
      <c r="F4" s="4" t="s">
        <v>3</v>
      </c>
      <c r="G4" s="37">
        <v>5</v>
      </c>
      <c r="H4" s="4" t="s">
        <v>4</v>
      </c>
      <c r="K4" s="2" t="s">
        <v>35</v>
      </c>
      <c r="L4" s="2">
        <v>3000</v>
      </c>
      <c r="M4" s="13" t="s">
        <v>39</v>
      </c>
      <c r="N4" s="21" t="s">
        <v>85</v>
      </c>
      <c r="O4" s="21" t="s">
        <v>102</v>
      </c>
    </row>
    <row r="5" spans="1:15" x14ac:dyDescent="0.3">
      <c r="A5" s="4" t="s">
        <v>7</v>
      </c>
      <c r="B5" s="6">
        <v>0.7</v>
      </c>
      <c r="C5" s="4" t="s">
        <v>6</v>
      </c>
      <c r="F5" s="4" t="s">
        <v>10</v>
      </c>
      <c r="G5" s="35">
        <v>0.1</v>
      </c>
      <c r="H5" s="4" t="s">
        <v>6</v>
      </c>
      <c r="K5" s="2" t="s">
        <v>36</v>
      </c>
      <c r="L5" s="2">
        <v>35</v>
      </c>
      <c r="M5" s="13" t="s">
        <v>39</v>
      </c>
      <c r="N5" s="21" t="s">
        <v>85</v>
      </c>
      <c r="O5" s="21" t="s">
        <v>102</v>
      </c>
    </row>
    <row r="6" spans="1:15" x14ac:dyDescent="0.3">
      <c r="A6" s="1" t="s">
        <v>8</v>
      </c>
      <c r="B6" s="3">
        <f>B3*B4*B5</f>
        <v>10.356164383561643</v>
      </c>
      <c r="C6" s="1" t="s">
        <v>9</v>
      </c>
      <c r="F6" s="1" t="s">
        <v>215</v>
      </c>
      <c r="G6" s="38">
        <f>B3*B4/G5</f>
        <v>147.94520547945203</v>
      </c>
      <c r="H6" s="1" t="s">
        <v>11</v>
      </c>
      <c r="K6" s="2" t="s">
        <v>37</v>
      </c>
      <c r="L6" s="2">
        <v>10</v>
      </c>
      <c r="M6" s="13" t="s">
        <v>40</v>
      </c>
      <c r="N6" s="21"/>
      <c r="O6" s="21" t="s">
        <v>102</v>
      </c>
    </row>
    <row r="7" spans="1:15" x14ac:dyDescent="0.3">
      <c r="F7" s="1" t="s">
        <v>215</v>
      </c>
      <c r="G7" s="38">
        <f>G6*1000/(24*60*60)</f>
        <v>1.7123287671232874</v>
      </c>
      <c r="H7" s="1" t="s">
        <v>109</v>
      </c>
      <c r="K7" s="2" t="s">
        <v>38</v>
      </c>
      <c r="L7" s="2">
        <v>14.4</v>
      </c>
      <c r="M7" s="13" t="s">
        <v>41</v>
      </c>
      <c r="N7" s="21" t="s">
        <v>84</v>
      </c>
      <c r="O7" s="21" t="s">
        <v>102</v>
      </c>
    </row>
    <row r="8" spans="1:15" x14ac:dyDescent="0.3">
      <c r="A8" s="34" t="s">
        <v>198</v>
      </c>
      <c r="B8" s="35">
        <v>0.15</v>
      </c>
      <c r="F8" s="1" t="s">
        <v>13</v>
      </c>
      <c r="G8" s="38">
        <f>G6*G4</f>
        <v>739.72602739726017</v>
      </c>
      <c r="H8" s="1" t="s">
        <v>14</v>
      </c>
      <c r="K8" s="2" t="s">
        <v>210</v>
      </c>
      <c r="L8" s="2">
        <v>13</v>
      </c>
      <c r="M8" s="13" t="s">
        <v>40</v>
      </c>
      <c r="N8" s="21"/>
      <c r="O8" s="21" t="s">
        <v>102</v>
      </c>
    </row>
    <row r="9" spans="1:15" x14ac:dyDescent="0.3">
      <c r="F9" s="1" t="s">
        <v>13</v>
      </c>
      <c r="G9" s="38">
        <f>G8*220</f>
        <v>162739.72602739724</v>
      </c>
      <c r="H9" s="1" t="s">
        <v>15</v>
      </c>
      <c r="K9" s="2" t="s">
        <v>211</v>
      </c>
      <c r="L9" s="2">
        <v>5.0000000000000001E-3</v>
      </c>
      <c r="M9" s="13" t="s">
        <v>41</v>
      </c>
      <c r="N9" s="21" t="s">
        <v>212</v>
      </c>
      <c r="O9" s="21" t="s">
        <v>102</v>
      </c>
    </row>
    <row r="10" spans="1:15" ht="14.4" customHeight="1" x14ac:dyDescent="0.3">
      <c r="A10" s="2" t="s">
        <v>30</v>
      </c>
      <c r="B10" s="2">
        <v>596</v>
      </c>
      <c r="F10" s="12" t="s">
        <v>44</v>
      </c>
      <c r="G10" s="30"/>
      <c r="K10" s="1" t="s">
        <v>96</v>
      </c>
      <c r="L10" s="3">
        <f>1/(1/L4+1/L5+L6/1000/L7+L8/1000/L9)</f>
        <v>0.38028608982900713</v>
      </c>
      <c r="M10" s="14" t="s">
        <v>39</v>
      </c>
      <c r="N10" s="21"/>
      <c r="O10" s="21" t="s">
        <v>102</v>
      </c>
    </row>
    <row r="11" spans="1:15" x14ac:dyDescent="0.3">
      <c r="F11" s="1" t="s">
        <v>48</v>
      </c>
      <c r="G11" s="38">
        <f>G8*5%</f>
        <v>36.986301369863007</v>
      </c>
      <c r="H11" s="1" t="s">
        <v>14</v>
      </c>
      <c r="K11" s="1" t="s">
        <v>51</v>
      </c>
      <c r="L11" s="7">
        <f>PI()*G15*G16</f>
        <v>289.48545423245912</v>
      </c>
      <c r="M11" s="14" t="s">
        <v>52</v>
      </c>
      <c r="N11" s="21"/>
      <c r="O11" s="21" t="s">
        <v>102</v>
      </c>
    </row>
    <row r="12" spans="1:15" x14ac:dyDescent="0.3">
      <c r="A12" s="34" t="s">
        <v>176</v>
      </c>
      <c r="B12" s="34">
        <v>0.7</v>
      </c>
      <c r="C12" s="34" t="s">
        <v>203</v>
      </c>
      <c r="F12" s="1" t="s">
        <v>49</v>
      </c>
      <c r="G12" s="38">
        <f>G8+G11</f>
        <v>776.71232876712315</v>
      </c>
      <c r="H12" s="1" t="s">
        <v>14</v>
      </c>
      <c r="K12" s="2" t="s">
        <v>53</v>
      </c>
      <c r="L12" s="2">
        <v>35</v>
      </c>
      <c r="M12" s="13" t="s">
        <v>55</v>
      </c>
      <c r="N12" s="21"/>
      <c r="O12" s="21" t="s">
        <v>102</v>
      </c>
    </row>
    <row r="13" spans="1:15" x14ac:dyDescent="0.3">
      <c r="A13" s="47" t="s">
        <v>238</v>
      </c>
      <c r="B13" s="48">
        <v>0.42</v>
      </c>
      <c r="F13" s="1" t="s">
        <v>49</v>
      </c>
      <c r="G13" s="38">
        <f>G12*220</f>
        <v>170876.71232876708</v>
      </c>
      <c r="H13" s="1" t="s">
        <v>15</v>
      </c>
      <c r="K13" s="2" t="s">
        <v>54</v>
      </c>
      <c r="L13" s="2">
        <v>-10</v>
      </c>
      <c r="M13" s="13" t="s">
        <v>55</v>
      </c>
      <c r="N13" s="21"/>
      <c r="O13" s="21" t="s">
        <v>102</v>
      </c>
    </row>
    <row r="14" spans="1:15" x14ac:dyDescent="0.3">
      <c r="F14" s="2" t="s">
        <v>42</v>
      </c>
      <c r="G14" s="39">
        <v>0.8</v>
      </c>
      <c r="H14" s="2"/>
      <c r="K14" s="19" t="s">
        <v>57</v>
      </c>
      <c r="L14" s="19">
        <v>10</v>
      </c>
      <c r="M14" s="20" t="s">
        <v>58</v>
      </c>
      <c r="N14" s="21" t="s">
        <v>95</v>
      </c>
      <c r="O14" s="21" t="s">
        <v>102</v>
      </c>
    </row>
    <row r="15" spans="1:15" x14ac:dyDescent="0.3">
      <c r="F15" s="1" t="s">
        <v>45</v>
      </c>
      <c r="G15" s="38">
        <f>(G12*4/PI()/G14)^(1/3)</f>
        <v>10.732315802553812</v>
      </c>
      <c r="H15" s="1" t="s">
        <v>46</v>
      </c>
      <c r="K15" s="1" t="s">
        <v>216</v>
      </c>
      <c r="L15" s="17">
        <f>L10*L11*((273+L12)-(273+L13))</f>
        <v>4953.9281153596148</v>
      </c>
      <c r="M15" s="14" t="s">
        <v>56</v>
      </c>
      <c r="N15" s="21"/>
      <c r="O15" s="21" t="s">
        <v>102</v>
      </c>
    </row>
    <row r="16" spans="1:15" x14ac:dyDescent="0.3">
      <c r="F16" s="1" t="s">
        <v>47</v>
      </c>
      <c r="G16" s="38">
        <f>G15*G14</f>
        <v>8.585852642043049</v>
      </c>
      <c r="H16" s="1" t="s">
        <v>46</v>
      </c>
      <c r="K16" s="19" t="s">
        <v>61</v>
      </c>
      <c r="L16" s="19">
        <v>1</v>
      </c>
      <c r="M16" s="20" t="s">
        <v>60</v>
      </c>
      <c r="N16" s="21"/>
      <c r="O16" s="21" t="s">
        <v>102</v>
      </c>
    </row>
    <row r="17" spans="6:15" x14ac:dyDescent="0.3">
      <c r="F17" s="1" t="s">
        <v>50</v>
      </c>
      <c r="G17" s="38">
        <f>G11/PI()/G15^2*4</f>
        <v>0.40885012581157415</v>
      </c>
      <c r="H17" s="1" t="s">
        <v>46</v>
      </c>
      <c r="K17" s="1" t="s">
        <v>104</v>
      </c>
      <c r="L17" s="7">
        <f>PI()*(G15/2)^2</f>
        <v>90.464204447643482</v>
      </c>
      <c r="M17" s="1" t="s">
        <v>52</v>
      </c>
      <c r="N17" s="21"/>
      <c r="O17" s="21"/>
    </row>
    <row r="18" spans="6:15" x14ac:dyDescent="0.3">
      <c r="F18" s="52" t="s">
        <v>24</v>
      </c>
      <c r="G18" s="53"/>
      <c r="H18" s="53"/>
      <c r="K18" s="1" t="s">
        <v>217</v>
      </c>
      <c r="L18" s="7">
        <f>L19*L17*(L12-L21)</f>
        <v>1627.6774811071211</v>
      </c>
      <c r="M18" s="1" t="s">
        <v>56</v>
      </c>
      <c r="N18" s="21"/>
      <c r="O18" s="21" t="s">
        <v>102</v>
      </c>
    </row>
    <row r="19" spans="6:15" x14ac:dyDescent="0.3">
      <c r="F19" s="8" t="s">
        <v>16</v>
      </c>
      <c r="G19" s="54" t="s">
        <v>17</v>
      </c>
      <c r="H19" s="54"/>
      <c r="J19" s="10"/>
      <c r="K19" s="1" t="s">
        <v>97</v>
      </c>
      <c r="L19" s="22">
        <f>1/(1/L20+L6/1000/L7)</f>
        <v>0.59975010412328189</v>
      </c>
      <c r="M19" s="14" t="s">
        <v>39</v>
      </c>
      <c r="N19" s="21"/>
      <c r="O19" s="21" t="s">
        <v>102</v>
      </c>
    </row>
    <row r="20" spans="6:15" ht="15" customHeight="1" x14ac:dyDescent="0.3">
      <c r="F20" s="8" t="s">
        <v>18</v>
      </c>
      <c r="G20" s="9" t="s">
        <v>29</v>
      </c>
      <c r="H20" s="9"/>
      <c r="J20" s="10"/>
      <c r="K20" s="2" t="s">
        <v>98</v>
      </c>
      <c r="L20" s="2">
        <v>0.6</v>
      </c>
      <c r="M20" s="13" t="s">
        <v>41</v>
      </c>
      <c r="N20" s="21" t="s">
        <v>103</v>
      </c>
      <c r="O20" s="21">
        <v>2</v>
      </c>
    </row>
    <row r="21" spans="6:15" x14ac:dyDescent="0.3">
      <c r="F21" s="8" t="s">
        <v>19</v>
      </c>
      <c r="G21" s="9">
        <v>310600</v>
      </c>
      <c r="H21" s="9" t="s">
        <v>20</v>
      </c>
      <c r="K21" s="2" t="s">
        <v>99</v>
      </c>
      <c r="L21" s="2">
        <v>5</v>
      </c>
      <c r="M21" s="13" t="s">
        <v>55</v>
      </c>
      <c r="N21" s="21"/>
      <c r="O21" s="21" t="s">
        <v>102</v>
      </c>
    </row>
    <row r="22" spans="6:15" x14ac:dyDescent="0.3">
      <c r="F22" s="8" t="s">
        <v>21</v>
      </c>
      <c r="G22" s="9">
        <v>2014</v>
      </c>
      <c r="H22" s="9"/>
      <c r="K22" s="12" t="s">
        <v>105</v>
      </c>
    </row>
    <row r="23" spans="6:15" x14ac:dyDescent="0.3">
      <c r="F23" t="s">
        <v>22</v>
      </c>
      <c r="G23" t="s">
        <v>23</v>
      </c>
      <c r="K23" s="2" t="s">
        <v>106</v>
      </c>
      <c r="L23" s="2">
        <v>5</v>
      </c>
      <c r="M23" s="2" t="s">
        <v>55</v>
      </c>
    </row>
    <row r="24" spans="6:15" x14ac:dyDescent="0.3">
      <c r="F24" s="2" t="s">
        <v>33</v>
      </c>
      <c r="G24" s="2">
        <v>576</v>
      </c>
      <c r="H24" s="11"/>
      <c r="K24" s="2" t="s">
        <v>107</v>
      </c>
      <c r="L24" s="2">
        <v>4200</v>
      </c>
      <c r="M24" s="2" t="s">
        <v>108</v>
      </c>
    </row>
    <row r="25" spans="6:15" x14ac:dyDescent="0.3">
      <c r="F25" s="1" t="s">
        <v>32</v>
      </c>
      <c r="G25" s="17">
        <f>G21*($B$10/G24)</f>
        <v>321384.72222222225</v>
      </c>
      <c r="H25" s="1" t="s">
        <v>20</v>
      </c>
      <c r="K25" s="1" t="s">
        <v>218</v>
      </c>
      <c r="L25" s="17">
        <f>L24*G7*(L12-L23)</f>
        <v>215753.4246575342</v>
      </c>
      <c r="M25" s="1" t="s">
        <v>56</v>
      </c>
    </row>
    <row r="26" spans="6:15" x14ac:dyDescent="0.3">
      <c r="F26" s="50" t="s">
        <v>25</v>
      </c>
      <c r="G26" s="50"/>
      <c r="H26" s="50"/>
      <c r="K26" s="12" t="s">
        <v>110</v>
      </c>
    </row>
    <row r="27" spans="6:15" x14ac:dyDescent="0.3">
      <c r="F27" s="8" t="s">
        <v>16</v>
      </c>
      <c r="G27" s="51" t="s">
        <v>26</v>
      </c>
      <c r="H27" s="51"/>
      <c r="K27" s="1" t="s">
        <v>219</v>
      </c>
      <c r="L27" s="17">
        <f>SUM(L15+L18+L25)</f>
        <v>222335.03025400094</v>
      </c>
      <c r="M27" s="1" t="s">
        <v>56</v>
      </c>
    </row>
    <row r="28" spans="6:15" x14ac:dyDescent="0.3">
      <c r="F28" s="8" t="s">
        <v>18</v>
      </c>
      <c r="G28" s="9" t="s">
        <v>27</v>
      </c>
      <c r="H28" s="9"/>
      <c r="K28" s="12" t="s">
        <v>59</v>
      </c>
    </row>
    <row r="29" spans="6:15" x14ac:dyDescent="0.3">
      <c r="F29" s="1" t="s">
        <v>19</v>
      </c>
      <c r="G29" s="17">
        <f>(1400+2300*G12^0.55)*2</f>
        <v>181613.7623128494</v>
      </c>
      <c r="H29" s="1" t="s">
        <v>20</v>
      </c>
      <c r="K29" t="s">
        <v>83</v>
      </c>
      <c r="L29" t="s">
        <v>62</v>
      </c>
      <c r="N29" s="12"/>
      <c r="O29" s="12"/>
    </row>
    <row r="30" spans="6:15" x14ac:dyDescent="0.3">
      <c r="F30" s="8" t="s">
        <v>21</v>
      </c>
      <c r="G30" s="9">
        <v>2004</v>
      </c>
      <c r="H30" s="9"/>
      <c r="K30" t="s">
        <v>63</v>
      </c>
      <c r="L30" t="s">
        <v>67</v>
      </c>
      <c r="N30" s="16" t="s">
        <v>22</v>
      </c>
      <c r="O30" s="16" t="s">
        <v>79</v>
      </c>
    </row>
    <row r="31" spans="6:15" x14ac:dyDescent="0.3">
      <c r="F31" t="s">
        <v>22</v>
      </c>
      <c r="G31" t="s">
        <v>28</v>
      </c>
      <c r="K31" s="19" t="s">
        <v>65</v>
      </c>
      <c r="L31" s="19">
        <v>1.75</v>
      </c>
      <c r="M31" s="20" t="s">
        <v>64</v>
      </c>
      <c r="N31" s="15"/>
      <c r="O31" s="15"/>
    </row>
    <row r="32" spans="6:15" x14ac:dyDescent="0.3">
      <c r="F32" s="2" t="s">
        <v>31</v>
      </c>
      <c r="G32" s="2">
        <v>444</v>
      </c>
      <c r="H32" s="11"/>
      <c r="K32" s="19" t="s">
        <v>71</v>
      </c>
      <c r="L32" s="19">
        <v>3</v>
      </c>
      <c r="M32" s="20" t="s">
        <v>64</v>
      </c>
      <c r="N32" s="15"/>
      <c r="O32" s="15"/>
    </row>
    <row r="33" spans="6:15" x14ac:dyDescent="0.3">
      <c r="F33" s="1" t="s">
        <v>32</v>
      </c>
      <c r="G33" s="17">
        <f>G29*($B$10/G32)</f>
        <v>243787.84310463569</v>
      </c>
      <c r="H33" s="1" t="s">
        <v>20</v>
      </c>
      <c r="K33" s="2" t="s">
        <v>66</v>
      </c>
      <c r="L33" s="2">
        <v>75</v>
      </c>
      <c r="M33" s="13" t="s">
        <v>55</v>
      </c>
      <c r="N33" s="15" t="s">
        <v>72</v>
      </c>
      <c r="O33" s="15"/>
    </row>
    <row r="34" spans="6:15" x14ac:dyDescent="0.3">
      <c r="K34" s="2" t="s">
        <v>68</v>
      </c>
      <c r="L34" s="2">
        <v>60</v>
      </c>
      <c r="M34" s="13" t="s">
        <v>55</v>
      </c>
      <c r="N34" s="15" t="s">
        <v>73</v>
      </c>
      <c r="O34" s="15"/>
    </row>
    <row r="35" spans="6:15" x14ac:dyDescent="0.3">
      <c r="K35" s="2" t="s">
        <v>111</v>
      </c>
      <c r="L35" s="2">
        <v>3</v>
      </c>
      <c r="M35" s="13" t="s">
        <v>55</v>
      </c>
      <c r="N35" s="15"/>
      <c r="O35" s="15"/>
    </row>
    <row r="36" spans="6:15" x14ac:dyDescent="0.3">
      <c r="K36" s="1" t="s">
        <v>112</v>
      </c>
      <c r="L36" s="24">
        <f>L12-L35</f>
        <v>32</v>
      </c>
      <c r="M36" s="1" t="s">
        <v>55</v>
      </c>
      <c r="N36" s="15" t="s">
        <v>74</v>
      </c>
      <c r="O36" s="15"/>
    </row>
    <row r="37" spans="6:15" x14ac:dyDescent="0.3">
      <c r="K37" s="1" t="s">
        <v>220</v>
      </c>
      <c r="L37" s="1">
        <f>(L36*G7-L23*G7)/(L12-L36)</f>
        <v>15.410958904109586</v>
      </c>
      <c r="M37" s="1" t="s">
        <v>113</v>
      </c>
      <c r="N37" s="15"/>
      <c r="O37" s="15"/>
    </row>
    <row r="38" spans="6:15" x14ac:dyDescent="0.3">
      <c r="K38" s="1" t="s">
        <v>221</v>
      </c>
      <c r="L38" s="24">
        <f>L37/G7</f>
        <v>9</v>
      </c>
      <c r="M38" s="1" t="s">
        <v>102</v>
      </c>
      <c r="N38" s="15"/>
      <c r="O38" s="15"/>
    </row>
    <row r="39" spans="6:15" x14ac:dyDescent="0.3">
      <c r="K39" s="2" t="s">
        <v>69</v>
      </c>
      <c r="L39" s="2">
        <v>35</v>
      </c>
      <c r="M39" s="2" t="s">
        <v>55</v>
      </c>
      <c r="N39" s="15" t="s">
        <v>75</v>
      </c>
      <c r="O39" s="15"/>
    </row>
    <row r="40" spans="6:15" x14ac:dyDescent="0.3">
      <c r="K40" s="1" t="s">
        <v>70</v>
      </c>
      <c r="L40" s="3">
        <f>((L33-L39)-(L34-L36))/LN((L33-L39)/(L34-L36))</f>
        <v>33.644079024685546</v>
      </c>
      <c r="M40" s="14" t="s">
        <v>76</v>
      </c>
      <c r="N40" s="15"/>
      <c r="O40" s="15"/>
    </row>
    <row r="41" spans="6:15" x14ac:dyDescent="0.3">
      <c r="K41" s="19" t="s">
        <v>78</v>
      </c>
      <c r="L41" s="19">
        <v>0.3</v>
      </c>
      <c r="M41" s="20" t="s">
        <v>64</v>
      </c>
      <c r="N41" s="15"/>
      <c r="O41" s="15">
        <v>1</v>
      </c>
    </row>
    <row r="42" spans="6:15" x14ac:dyDescent="0.3">
      <c r="K42" s="19" t="s">
        <v>77</v>
      </c>
      <c r="L42" s="19">
        <v>1</v>
      </c>
      <c r="M42" s="20" t="s">
        <v>64</v>
      </c>
      <c r="N42" s="15"/>
      <c r="O42" s="15">
        <v>1</v>
      </c>
    </row>
    <row r="43" spans="6:15" x14ac:dyDescent="0.3">
      <c r="K43" s="1" t="s">
        <v>80</v>
      </c>
      <c r="L43" s="1">
        <v>800</v>
      </c>
      <c r="M43" s="14" t="s">
        <v>39</v>
      </c>
      <c r="N43" s="15" t="s">
        <v>81</v>
      </c>
      <c r="O43" s="15">
        <v>1</v>
      </c>
    </row>
    <row r="44" spans="6:15" x14ac:dyDescent="0.3">
      <c r="K44" s="1" t="s">
        <v>82</v>
      </c>
      <c r="L44" s="1">
        <f>L27/(ABS(L40)*L43)</f>
        <v>8.2605556720273086</v>
      </c>
      <c r="M44" s="1" t="s">
        <v>52</v>
      </c>
    </row>
    <row r="45" spans="6:15" x14ac:dyDescent="0.3">
      <c r="K45" s="1" t="s">
        <v>82</v>
      </c>
      <c r="L45" s="1">
        <f>L44*10.764</f>
        <v>88.916621253701948</v>
      </c>
      <c r="M45" s="1" t="s">
        <v>86</v>
      </c>
    </row>
    <row r="46" spans="6:15" x14ac:dyDescent="0.3">
      <c r="K46" s="52" t="s">
        <v>24</v>
      </c>
      <c r="L46" s="53"/>
      <c r="M46" s="53"/>
    </row>
    <row r="47" spans="6:15" x14ac:dyDescent="0.3">
      <c r="K47" s="8" t="s">
        <v>16</v>
      </c>
      <c r="L47" s="54" t="s">
        <v>87</v>
      </c>
      <c r="M47" s="54"/>
    </row>
    <row r="48" spans="6:15" x14ac:dyDescent="0.3">
      <c r="K48" s="8" t="s">
        <v>18</v>
      </c>
      <c r="L48" s="9" t="s">
        <v>88</v>
      </c>
      <c r="M48" s="9"/>
    </row>
    <row r="49" spans="11:14" x14ac:dyDescent="0.3">
      <c r="K49" s="8" t="s">
        <v>19</v>
      </c>
      <c r="L49" s="9">
        <v>34700</v>
      </c>
      <c r="M49" s="9" t="s">
        <v>20</v>
      </c>
      <c r="N49" s="23"/>
    </row>
    <row r="50" spans="11:14" x14ac:dyDescent="0.3">
      <c r="K50" s="8" t="s">
        <v>21</v>
      </c>
      <c r="L50" s="9">
        <v>2014</v>
      </c>
      <c r="M50" s="9"/>
    </row>
    <row r="51" spans="11:14" x14ac:dyDescent="0.3">
      <c r="K51" s="2" t="s">
        <v>31</v>
      </c>
      <c r="L51" s="2">
        <v>576</v>
      </c>
      <c r="M51" s="2"/>
    </row>
    <row r="52" spans="11:14" x14ac:dyDescent="0.3">
      <c r="K52" s="1" t="s">
        <v>32</v>
      </c>
      <c r="L52" s="17">
        <f>L49*($B$10/L51)</f>
        <v>35904.861111111117</v>
      </c>
      <c r="M52" s="1" t="s">
        <v>20</v>
      </c>
    </row>
    <row r="53" spans="11:14" x14ac:dyDescent="0.3">
      <c r="K53" s="50" t="s">
        <v>25</v>
      </c>
      <c r="L53" s="50"/>
      <c r="M53" s="50"/>
    </row>
    <row r="54" spans="11:14" x14ac:dyDescent="0.3">
      <c r="K54" s="8" t="s">
        <v>16</v>
      </c>
      <c r="L54" s="51" t="s">
        <v>89</v>
      </c>
      <c r="M54" s="51"/>
    </row>
    <row r="55" spans="11:14" x14ac:dyDescent="0.3">
      <c r="K55" s="8" t="s">
        <v>18</v>
      </c>
      <c r="L55" s="9" t="s">
        <v>90</v>
      </c>
      <c r="M55" s="9"/>
    </row>
    <row r="56" spans="11:14" x14ac:dyDescent="0.3">
      <c r="K56" s="2" t="s">
        <v>19</v>
      </c>
      <c r="L56" s="18">
        <v>20000</v>
      </c>
      <c r="M56" s="2" t="s">
        <v>20</v>
      </c>
      <c r="N56" t="s">
        <v>91</v>
      </c>
    </row>
    <row r="57" spans="11:14" x14ac:dyDescent="0.3">
      <c r="K57" s="8" t="s">
        <v>21</v>
      </c>
      <c r="L57" s="9">
        <v>2004</v>
      </c>
      <c r="M57" s="9"/>
    </row>
    <row r="58" spans="11:14" x14ac:dyDescent="0.3">
      <c r="K58" t="s">
        <v>22</v>
      </c>
      <c r="L58" t="s">
        <v>28</v>
      </c>
    </row>
    <row r="59" spans="11:14" x14ac:dyDescent="0.3">
      <c r="K59" s="2" t="s">
        <v>31</v>
      </c>
      <c r="L59" s="2">
        <v>444</v>
      </c>
      <c r="M59" s="11"/>
    </row>
    <row r="60" spans="11:14" x14ac:dyDescent="0.3">
      <c r="K60" s="1" t="s">
        <v>32</v>
      </c>
      <c r="L60" s="17">
        <f>L56*($B$10/L59)</f>
        <v>26846.846846846849</v>
      </c>
      <c r="M60" s="1" t="s">
        <v>20</v>
      </c>
    </row>
    <row r="61" spans="11:14" x14ac:dyDescent="0.3">
      <c r="K61" s="50" t="s">
        <v>92</v>
      </c>
      <c r="L61" s="50"/>
      <c r="M61" s="50"/>
    </row>
    <row r="62" spans="11:14" x14ac:dyDescent="0.3">
      <c r="K62" s="8" t="s">
        <v>16</v>
      </c>
      <c r="L62" s="51" t="s">
        <v>93</v>
      </c>
      <c r="M62" s="51"/>
    </row>
    <row r="63" spans="11:14" x14ac:dyDescent="0.3">
      <c r="K63" s="8" t="s">
        <v>18</v>
      </c>
      <c r="L63" s="9" t="s">
        <v>94</v>
      </c>
      <c r="M63" s="9"/>
    </row>
    <row r="64" spans="11:14" x14ac:dyDescent="0.3">
      <c r="K64" s="1" t="s">
        <v>19</v>
      </c>
      <c r="L64" s="17">
        <f>1600+2100*L44^1</f>
        <v>18947.166911257347</v>
      </c>
      <c r="M64" s="1" t="s">
        <v>20</v>
      </c>
    </row>
    <row r="65" spans="11:14" x14ac:dyDescent="0.3">
      <c r="K65" s="8" t="s">
        <v>21</v>
      </c>
      <c r="L65" s="9">
        <v>2007</v>
      </c>
      <c r="M65" s="9"/>
      <c r="N65" s="23"/>
    </row>
    <row r="66" spans="11:14" x14ac:dyDescent="0.3">
      <c r="K66" s="2" t="s">
        <v>31</v>
      </c>
      <c r="L66" s="2">
        <v>510</v>
      </c>
      <c r="M66" s="11"/>
    </row>
    <row r="67" spans="11:14" x14ac:dyDescent="0.3">
      <c r="K67" s="1" t="s">
        <v>32</v>
      </c>
      <c r="L67" s="17">
        <f>L64*($B$10/L66)</f>
        <v>22142.179370802703</v>
      </c>
      <c r="M67" s="1" t="s">
        <v>20</v>
      </c>
    </row>
  </sheetData>
  <mergeCells count="12">
    <mergeCell ref="K2:O2"/>
    <mergeCell ref="G27:H27"/>
    <mergeCell ref="F2:I2"/>
    <mergeCell ref="F18:H18"/>
    <mergeCell ref="G19:H19"/>
    <mergeCell ref="F26:H26"/>
    <mergeCell ref="K53:M53"/>
    <mergeCell ref="L54:M54"/>
    <mergeCell ref="K61:M61"/>
    <mergeCell ref="L62:M62"/>
    <mergeCell ref="K46:M46"/>
    <mergeCell ref="L47:M47"/>
  </mergeCells>
  <pageMargins left="0.7" right="0.7" top="0.75" bottom="0.75" header="0.3" footer="0.3"/>
  <pageSetup paperSize="9" orientation="portrait" r:id="rId1"/>
  <headerFooter>
    <oddHeader>&amp;R&amp;"Calibri"&amp;10&amp;K000000 PUBLIC / CYHOEDDUS&amp;1#_x000D_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F35441-2811-44B0-B708-75DED016290E}">
  <dimension ref="A2:N25"/>
  <sheetViews>
    <sheetView workbookViewId="0">
      <selection activeCell="G8" sqref="G8"/>
    </sheetView>
  </sheetViews>
  <sheetFormatPr defaultRowHeight="14.4" x14ac:dyDescent="0.3"/>
  <cols>
    <col min="1" max="1" width="23" customWidth="1"/>
    <col min="2" max="2" width="16.6640625" customWidth="1"/>
    <col min="3" max="3" width="12" bestFit="1" customWidth="1"/>
    <col min="4" max="4" width="28.6640625" customWidth="1"/>
    <col min="5" max="5" width="11.33203125" customWidth="1"/>
    <col min="6" max="6" width="14.88671875" customWidth="1"/>
    <col min="8" max="8" width="29.33203125" customWidth="1"/>
    <col min="10" max="10" width="21.33203125" customWidth="1"/>
    <col min="12" max="12" width="21.33203125" customWidth="1"/>
  </cols>
  <sheetData>
    <row r="2" spans="1:14" ht="20.399999999999999" thickBot="1" x14ac:dyDescent="0.45">
      <c r="B2" s="55" t="s">
        <v>114</v>
      </c>
      <c r="C2" s="55"/>
      <c r="D2" s="55"/>
      <c r="F2" s="55" t="s">
        <v>224</v>
      </c>
      <c r="G2" s="55"/>
      <c r="H2" s="55"/>
      <c r="J2" s="55" t="s">
        <v>119</v>
      </c>
      <c r="K2" s="55"/>
      <c r="L2" s="55"/>
      <c r="M2" t="s">
        <v>100</v>
      </c>
    </row>
    <row r="3" spans="1:14" ht="15" thickTop="1" x14ac:dyDescent="0.3">
      <c r="B3" t="s">
        <v>223</v>
      </c>
      <c r="C3">
        <f>'Fermenter and heat exchanger'!L37</f>
        <v>15.410958904109586</v>
      </c>
      <c r="D3" t="s">
        <v>113</v>
      </c>
      <c r="F3" t="s">
        <v>215</v>
      </c>
      <c r="G3" s="26">
        <f>'Fermenter and heat exchanger'!G7</f>
        <v>1.7123287671232874</v>
      </c>
      <c r="H3" t="s">
        <v>113</v>
      </c>
      <c r="J3" t="s">
        <v>120</v>
      </c>
      <c r="K3">
        <v>0.5</v>
      </c>
      <c r="L3" t="s">
        <v>121</v>
      </c>
    </row>
    <row r="4" spans="1:14" x14ac:dyDescent="0.3">
      <c r="B4" t="s">
        <v>223</v>
      </c>
      <c r="C4">
        <f>C3*0.22*60</f>
        <v>203.42465753424653</v>
      </c>
      <c r="D4" t="s">
        <v>115</v>
      </c>
      <c r="F4" t="s">
        <v>215</v>
      </c>
      <c r="G4">
        <f>G3*0.22*60</f>
        <v>22.602739726027394</v>
      </c>
      <c r="H4" t="s">
        <v>115</v>
      </c>
      <c r="J4" t="s">
        <v>13</v>
      </c>
      <c r="K4" s="26">
        <f>('Fermenter and heat exchanger'!G6/24)*K3</f>
        <v>3.0821917808219172</v>
      </c>
      <c r="L4" t="s">
        <v>14</v>
      </c>
    </row>
    <row r="5" spans="1:14" x14ac:dyDescent="0.3">
      <c r="B5" t="s">
        <v>206</v>
      </c>
      <c r="C5" s="33">
        <v>0.75</v>
      </c>
      <c r="F5" t="s">
        <v>206</v>
      </c>
      <c r="G5" s="33">
        <v>0.75</v>
      </c>
      <c r="J5" t="s">
        <v>13</v>
      </c>
      <c r="K5" s="27">
        <f>K4*220</f>
        <v>678.08219178082174</v>
      </c>
      <c r="L5" t="s">
        <v>15</v>
      </c>
    </row>
    <row r="6" spans="1:14" x14ac:dyDescent="0.3">
      <c r="A6" t="s">
        <v>208</v>
      </c>
      <c r="B6" t="s">
        <v>233</v>
      </c>
      <c r="C6">
        <f>(9.8*'Fermenter and heat exchanger'!G16)*110%</f>
        <v>92.555491481224095</v>
      </c>
      <c r="D6" t="s">
        <v>207</v>
      </c>
      <c r="F6" t="s">
        <v>233</v>
      </c>
      <c r="G6">
        <f>(9.8*'Fermenter and heat exchanger'!G16)*110%</f>
        <v>92.555491481224095</v>
      </c>
      <c r="H6" t="s">
        <v>207</v>
      </c>
      <c r="J6" t="s">
        <v>227</v>
      </c>
      <c r="K6" s="27">
        <v>10</v>
      </c>
      <c r="L6" t="s">
        <v>209</v>
      </c>
      <c r="M6" s="40" t="s">
        <v>225</v>
      </c>
      <c r="N6" s="23" t="s">
        <v>226</v>
      </c>
    </row>
    <row r="7" spans="1:14" x14ac:dyDescent="0.3">
      <c r="C7" s="33"/>
      <c r="G7" s="33"/>
      <c r="J7" t="s">
        <v>206</v>
      </c>
      <c r="K7" s="41">
        <v>0.75</v>
      </c>
    </row>
    <row r="8" spans="1:14" x14ac:dyDescent="0.3">
      <c r="B8" t="s">
        <v>204</v>
      </c>
      <c r="C8" s="27">
        <f>C6*(C3)/C5</f>
        <v>1901.8251674224127</v>
      </c>
      <c r="D8" t="s">
        <v>56</v>
      </c>
      <c r="F8" t="s">
        <v>204</v>
      </c>
      <c r="G8" s="27">
        <f>G6*(G3)/G5</f>
        <v>211.31390749137918</v>
      </c>
      <c r="H8" t="s">
        <v>56</v>
      </c>
      <c r="J8" t="s">
        <v>205</v>
      </c>
      <c r="K8" s="27">
        <f>K6*K4/K7</f>
        <v>41.095890410958894</v>
      </c>
      <c r="L8" t="s">
        <v>56</v>
      </c>
    </row>
    <row r="9" spans="1:14" x14ac:dyDescent="0.3">
      <c r="B9" s="52" t="s">
        <v>24</v>
      </c>
      <c r="C9" s="53"/>
      <c r="D9" s="53"/>
      <c r="F9" s="52" t="s">
        <v>24</v>
      </c>
      <c r="G9" s="53"/>
      <c r="H9" s="53"/>
      <c r="J9" s="52" t="s">
        <v>24</v>
      </c>
      <c r="K9" s="53"/>
      <c r="L9" s="53"/>
    </row>
    <row r="10" spans="1:14" x14ac:dyDescent="0.3">
      <c r="B10" s="8" t="s">
        <v>16</v>
      </c>
      <c r="C10" s="54" t="s">
        <v>116</v>
      </c>
      <c r="D10" s="54"/>
      <c r="F10" s="8" t="s">
        <v>16</v>
      </c>
      <c r="G10" s="54" t="s">
        <v>116</v>
      </c>
      <c r="H10" s="54"/>
      <c r="J10" s="8" t="s">
        <v>16</v>
      </c>
      <c r="K10" s="54" t="s">
        <v>235</v>
      </c>
      <c r="L10" s="54"/>
    </row>
    <row r="11" spans="1:14" x14ac:dyDescent="0.3">
      <c r="B11" s="8" t="s">
        <v>18</v>
      </c>
      <c r="C11" s="9" t="s">
        <v>234</v>
      </c>
      <c r="D11" s="9"/>
      <c r="F11" s="8" t="s">
        <v>18</v>
      </c>
      <c r="G11" s="9" t="s">
        <v>117</v>
      </c>
      <c r="H11" s="9"/>
      <c r="J11" s="8" t="s">
        <v>18</v>
      </c>
      <c r="K11" s="9" t="s">
        <v>88</v>
      </c>
      <c r="L11" s="9"/>
    </row>
    <row r="12" spans="1:14" x14ac:dyDescent="0.3">
      <c r="B12" s="8" t="s">
        <v>19</v>
      </c>
      <c r="C12" s="9">
        <v>48200</v>
      </c>
      <c r="D12" s="9" t="s">
        <v>20</v>
      </c>
      <c r="F12" s="8" t="s">
        <v>19</v>
      </c>
      <c r="G12" s="9">
        <v>23000</v>
      </c>
      <c r="H12" s="9" t="s">
        <v>20</v>
      </c>
      <c r="J12" s="8" t="s">
        <v>19</v>
      </c>
      <c r="K12" s="9">
        <v>118300</v>
      </c>
      <c r="L12" s="9" t="s">
        <v>20</v>
      </c>
    </row>
    <row r="13" spans="1:14" x14ac:dyDescent="0.3">
      <c r="B13" s="8" t="s">
        <v>21</v>
      </c>
      <c r="C13" s="9">
        <v>2014</v>
      </c>
      <c r="D13" s="9"/>
      <c r="F13" s="8" t="s">
        <v>21</v>
      </c>
      <c r="G13" s="9">
        <v>2014</v>
      </c>
      <c r="H13" s="9"/>
      <c r="J13" s="8" t="s">
        <v>21</v>
      </c>
      <c r="K13" s="9">
        <v>2014</v>
      </c>
      <c r="L13" s="9"/>
    </row>
    <row r="14" spans="1:14" x14ac:dyDescent="0.3">
      <c r="B14" t="s">
        <v>22</v>
      </c>
      <c r="C14" t="s">
        <v>118</v>
      </c>
      <c r="F14" t="s">
        <v>22</v>
      </c>
      <c r="G14" t="s">
        <v>118</v>
      </c>
      <c r="J14" t="s">
        <v>22</v>
      </c>
      <c r="K14" t="s">
        <v>118</v>
      </c>
    </row>
    <row r="15" spans="1:14" x14ac:dyDescent="0.3">
      <c r="B15" s="2" t="s">
        <v>33</v>
      </c>
      <c r="C15" s="2">
        <v>576</v>
      </c>
      <c r="D15" s="11"/>
      <c r="F15" s="2" t="s">
        <v>33</v>
      </c>
      <c r="G15" s="2">
        <v>576</v>
      </c>
      <c r="H15" s="11"/>
      <c r="J15" s="2" t="s">
        <v>33</v>
      </c>
      <c r="K15" s="2">
        <v>576</v>
      </c>
      <c r="L15" s="11"/>
    </row>
    <row r="16" spans="1:14" x14ac:dyDescent="0.3">
      <c r="B16" s="1" t="s">
        <v>32</v>
      </c>
      <c r="C16" s="17">
        <f>C12*('Fermenter and heat exchanger'!$B$10/C15)</f>
        <v>49873.611111111117</v>
      </c>
      <c r="D16" s="1" t="s">
        <v>20</v>
      </c>
      <c r="F16" s="1" t="s">
        <v>32</v>
      </c>
      <c r="G16" s="17">
        <f>G12*('Fermenter and heat exchanger'!$B$10/G15)</f>
        <v>23798.611111111113</v>
      </c>
      <c r="H16" s="1" t="s">
        <v>20</v>
      </c>
      <c r="J16" s="1" t="s">
        <v>32</v>
      </c>
      <c r="K16" s="17">
        <f>K12*('Fermenter and heat exchanger'!$B$10/K15)</f>
        <v>122407.63888888891</v>
      </c>
      <c r="L16" s="1" t="s">
        <v>20</v>
      </c>
    </row>
    <row r="18" spans="2:12" x14ac:dyDescent="0.3">
      <c r="B18" s="50" t="s">
        <v>92</v>
      </c>
      <c r="C18" s="50"/>
      <c r="D18" s="50"/>
      <c r="F18" s="50" t="s">
        <v>92</v>
      </c>
      <c r="G18" s="50"/>
      <c r="H18" s="50"/>
      <c r="J18" s="50" t="s">
        <v>92</v>
      </c>
      <c r="K18" s="50"/>
      <c r="L18" s="50"/>
    </row>
    <row r="19" spans="2:12" x14ac:dyDescent="0.3">
      <c r="B19" s="8" t="s">
        <v>16</v>
      </c>
      <c r="C19" s="51" t="s">
        <v>122</v>
      </c>
      <c r="D19" s="51"/>
      <c r="F19" s="8" t="s">
        <v>16</v>
      </c>
      <c r="G19" s="51" t="s">
        <v>122</v>
      </c>
      <c r="H19" s="51"/>
      <c r="J19" s="8" t="s">
        <v>16</v>
      </c>
      <c r="K19" s="51" t="s">
        <v>123</v>
      </c>
      <c r="L19" s="51"/>
    </row>
    <row r="20" spans="2:12" x14ac:dyDescent="0.3">
      <c r="B20" s="8" t="s">
        <v>18</v>
      </c>
      <c r="C20" s="9" t="s">
        <v>102</v>
      </c>
      <c r="D20" s="9"/>
      <c r="F20" s="8" t="s">
        <v>18</v>
      </c>
      <c r="G20" s="9" t="s">
        <v>102</v>
      </c>
      <c r="H20" s="9"/>
      <c r="J20" s="8" t="s">
        <v>18</v>
      </c>
      <c r="K20" s="9" t="s">
        <v>124</v>
      </c>
      <c r="L20" s="9"/>
    </row>
    <row r="21" spans="2:12" x14ac:dyDescent="0.3">
      <c r="B21" s="1" t="s">
        <v>19</v>
      </c>
      <c r="C21" s="17">
        <f>6900+(206*C3^0.9)</f>
        <v>9314.9821021246407</v>
      </c>
      <c r="D21" s="1" t="s">
        <v>20</v>
      </c>
      <c r="F21" s="1" t="s">
        <v>19</v>
      </c>
      <c r="G21" s="17">
        <f>6900+(206*G3^0.9)</f>
        <v>7234.2686581371545</v>
      </c>
      <c r="H21" s="1" t="s">
        <v>20</v>
      </c>
      <c r="J21" s="1" t="s">
        <v>19</v>
      </c>
      <c r="K21" s="17">
        <f>53000+(28000*K4^0.8)</f>
        <v>121904.20998754444</v>
      </c>
      <c r="L21" s="1" t="s">
        <v>20</v>
      </c>
    </row>
    <row r="22" spans="2:12" x14ac:dyDescent="0.3">
      <c r="B22" s="8" t="s">
        <v>21</v>
      </c>
      <c r="C22" s="9">
        <v>2007</v>
      </c>
      <c r="D22" s="9"/>
      <c r="F22" s="8" t="s">
        <v>21</v>
      </c>
      <c r="G22" s="9">
        <v>2007</v>
      </c>
      <c r="H22" s="9"/>
      <c r="J22" s="8" t="s">
        <v>21</v>
      </c>
      <c r="K22" s="9">
        <v>2007</v>
      </c>
      <c r="L22" s="9"/>
    </row>
    <row r="24" spans="2:12" x14ac:dyDescent="0.3">
      <c r="B24" s="2" t="s">
        <v>31</v>
      </c>
      <c r="C24" s="2">
        <v>510</v>
      </c>
      <c r="D24" s="11"/>
      <c r="F24" s="2" t="s">
        <v>31</v>
      </c>
      <c r="G24" s="2">
        <v>510</v>
      </c>
      <c r="H24" s="11"/>
      <c r="J24" s="2" t="s">
        <v>31</v>
      </c>
      <c r="K24" s="2">
        <v>510</v>
      </c>
      <c r="L24" s="11"/>
    </row>
    <row r="25" spans="2:12" x14ac:dyDescent="0.3">
      <c r="B25" s="1" t="s">
        <v>32</v>
      </c>
      <c r="C25" s="17">
        <f>C21*('Fermenter and heat exchanger'!$B$10/C24)</f>
        <v>10885.743789933895</v>
      </c>
      <c r="D25" s="1" t="s">
        <v>20</v>
      </c>
      <c r="F25" s="1" t="s">
        <v>32</v>
      </c>
      <c r="G25" s="17">
        <f>G21*('Fermenter and heat exchanger'!$B$10/G24)</f>
        <v>8454.1649416661658</v>
      </c>
      <c r="H25" s="1" t="s">
        <v>20</v>
      </c>
      <c r="J25" s="1" t="s">
        <v>32</v>
      </c>
      <c r="K25" s="17">
        <f>K21*('Fermenter and heat exchanger'!$B$10/K24)</f>
        <v>142460.60618152254</v>
      </c>
      <c r="L25" s="1" t="s">
        <v>20</v>
      </c>
    </row>
  </sheetData>
  <mergeCells count="15">
    <mergeCell ref="J2:L2"/>
    <mergeCell ref="J9:L9"/>
    <mergeCell ref="K10:L10"/>
    <mergeCell ref="B18:D18"/>
    <mergeCell ref="C19:D19"/>
    <mergeCell ref="F18:H18"/>
    <mergeCell ref="G19:H19"/>
    <mergeCell ref="J18:L18"/>
    <mergeCell ref="K19:L19"/>
    <mergeCell ref="B2:D2"/>
    <mergeCell ref="B9:D9"/>
    <mergeCell ref="C10:D10"/>
    <mergeCell ref="F2:H2"/>
    <mergeCell ref="F9:H9"/>
    <mergeCell ref="G10:H10"/>
  </mergeCells>
  <hyperlinks>
    <hyperlink ref="M6" r:id="rId1" xr:uid="{4AF85FBC-5320-4321-A668-64D12C12DC6A}"/>
  </hyperlinks>
  <pageMargins left="0.7" right="0.7" top="0.75" bottom="0.75" header="0.3" footer="0.3"/>
  <pageSetup paperSize="9" orientation="portrait" r:id="rId2"/>
  <headerFooter>
    <oddHeader>&amp;R&amp;"Calibri"&amp;10&amp;K000000 PUBLIC / CYHOEDDUS&amp;1#_x000D_</oddHeader>
  </headerFooter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13B1D2-5502-433D-9CC9-BFB1C4D9D96A}">
  <dimension ref="A3:D22"/>
  <sheetViews>
    <sheetView topLeftCell="A4" workbookViewId="0">
      <selection activeCell="E16" sqref="E16"/>
    </sheetView>
  </sheetViews>
  <sheetFormatPr defaultRowHeight="14.4" x14ac:dyDescent="0.3"/>
  <cols>
    <col min="1" max="1" width="33.5546875" customWidth="1"/>
    <col min="2" max="2" width="15" customWidth="1"/>
  </cols>
  <sheetData>
    <row r="3" spans="1:4" x14ac:dyDescent="0.3">
      <c r="A3" t="s">
        <v>152</v>
      </c>
      <c r="B3" s="29">
        <f>'Fermenter and heat exchanger'!G25+'Fermenter and heat exchanger'!L52+'Pumps and pre-mixer'!C16+'Pumps and pre-mixer'!G16*2+'Pumps and pre-mixer'!K25</f>
        <v>597221.02284818934</v>
      </c>
      <c r="C3" t="s">
        <v>153</v>
      </c>
    </row>
    <row r="5" spans="1:4" x14ac:dyDescent="0.3">
      <c r="A5" s="12" t="s">
        <v>154</v>
      </c>
    </row>
    <row r="6" spans="1:4" x14ac:dyDescent="0.3">
      <c r="A6" t="s">
        <v>155</v>
      </c>
      <c r="B6" s="29">
        <f>8%*B3</f>
        <v>47777.681827855151</v>
      </c>
      <c r="D6" t="s">
        <v>162</v>
      </c>
    </row>
    <row r="7" spans="1:4" x14ac:dyDescent="0.3">
      <c r="A7" t="s">
        <v>156</v>
      </c>
      <c r="B7" s="29">
        <f>14%*B3</f>
        <v>83610.943198746521</v>
      </c>
    </row>
    <row r="8" spans="1:4" x14ac:dyDescent="0.3">
      <c r="A8" t="s">
        <v>157</v>
      </c>
      <c r="B8" s="29">
        <f>4%*B3</f>
        <v>23888.840913927575</v>
      </c>
    </row>
    <row r="9" spans="1:4" x14ac:dyDescent="0.3">
      <c r="A9" t="s">
        <v>158</v>
      </c>
      <c r="B9" s="29">
        <f>2%*B3</f>
        <v>11944.420456963788</v>
      </c>
    </row>
    <row r="10" spans="1:4" x14ac:dyDescent="0.3">
      <c r="A10" t="s">
        <v>159</v>
      </c>
      <c r="B10" s="29">
        <f>B3*1%</f>
        <v>5972.2102284818939</v>
      </c>
    </row>
    <row r="11" spans="1:4" x14ac:dyDescent="0.3">
      <c r="A11" t="s">
        <v>160</v>
      </c>
      <c r="B11" s="29">
        <f>B3*1%</f>
        <v>5972.2102284818939</v>
      </c>
    </row>
    <row r="12" spans="1:4" x14ac:dyDescent="0.3">
      <c r="B12" s="30"/>
    </row>
    <row r="13" spans="1:4" x14ac:dyDescent="0.3">
      <c r="A13" s="12" t="s">
        <v>161</v>
      </c>
      <c r="B13" s="31">
        <f>SUM(B3:B11)</f>
        <v>776387.32970264624</v>
      </c>
    </row>
    <row r="15" spans="1:4" x14ac:dyDescent="0.3">
      <c r="A15" s="12" t="s">
        <v>163</v>
      </c>
    </row>
    <row r="16" spans="1:4" x14ac:dyDescent="0.3">
      <c r="A16" t="s">
        <v>165</v>
      </c>
      <c r="B16" s="29">
        <f>B3*10%</f>
        <v>59722.102284818939</v>
      </c>
    </row>
    <row r="17" spans="1:3" x14ac:dyDescent="0.3">
      <c r="A17" t="s">
        <v>166</v>
      </c>
      <c r="B17" s="29">
        <f>B3*5%</f>
        <v>29861.051142409469</v>
      </c>
      <c r="C17" t="s">
        <v>164</v>
      </c>
    </row>
    <row r="18" spans="1:3" x14ac:dyDescent="0.3">
      <c r="A18" t="s">
        <v>167</v>
      </c>
      <c r="B18" s="29">
        <f>B3*10%</f>
        <v>59722.102284818939</v>
      </c>
    </row>
    <row r="19" spans="1:3" x14ac:dyDescent="0.3">
      <c r="A19" t="s">
        <v>168</v>
      </c>
      <c r="B19" s="29">
        <f>B3*2%</f>
        <v>11944.420456963788</v>
      </c>
    </row>
    <row r="20" spans="1:3" x14ac:dyDescent="0.3">
      <c r="A20" t="s">
        <v>169</v>
      </c>
      <c r="B20" s="29">
        <f>B3*1%</f>
        <v>5972.2102284818939</v>
      </c>
    </row>
    <row r="21" spans="1:3" x14ac:dyDescent="0.3">
      <c r="B21" s="30"/>
    </row>
    <row r="22" spans="1:3" x14ac:dyDescent="0.3">
      <c r="A22" s="12" t="s">
        <v>170</v>
      </c>
      <c r="B22" s="31">
        <f>SUM(B16:B20)</f>
        <v>167221.88639749301</v>
      </c>
    </row>
  </sheetData>
  <pageMargins left="0.7" right="0.7" top="0.75" bottom="0.75" header="0.3" footer="0.3"/>
  <pageSetup paperSize="9" orientation="portrait" r:id="rId1"/>
  <headerFooter>
    <oddHeader>&amp;R&amp;"Calibri"&amp;10&amp;K000000 PUBLIC / CYHOEDDUS&amp;1#_x000D_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38DD2D-9635-4B35-BDF2-05A65E82CE64}">
  <dimension ref="A1:U61"/>
  <sheetViews>
    <sheetView topLeftCell="A44" zoomScale="120" zoomScaleNormal="120" workbookViewId="0">
      <selection activeCell="L39" sqref="L39"/>
    </sheetView>
  </sheetViews>
  <sheetFormatPr defaultRowHeight="14.4" x14ac:dyDescent="0.3"/>
  <cols>
    <col min="1" max="1" width="31" customWidth="1"/>
    <col min="2" max="2" width="40" customWidth="1"/>
    <col min="3" max="3" width="23.33203125" customWidth="1"/>
    <col min="4" max="4" width="21.88671875" customWidth="1"/>
    <col min="11" max="11" width="20.6640625" customWidth="1"/>
    <col min="12" max="12" width="21.44140625" customWidth="1"/>
    <col min="13" max="13" width="11.44140625" bestFit="1" customWidth="1"/>
    <col min="14" max="14" width="12.44140625" customWidth="1"/>
    <col min="17" max="17" width="13.44140625" customWidth="1"/>
  </cols>
  <sheetData>
    <row r="1" spans="1:21" x14ac:dyDescent="0.3">
      <c r="A1" s="12" t="s">
        <v>150</v>
      </c>
      <c r="B1" s="28">
        <f>'cap cost'!B13</f>
        <v>776387.32970264624</v>
      </c>
    </row>
    <row r="2" spans="1:21" x14ac:dyDescent="0.3">
      <c r="A2" s="12" t="s">
        <v>151</v>
      </c>
      <c r="B2" s="28">
        <f>'cap cost'!B22</f>
        <v>167221.88639749301</v>
      </c>
    </row>
    <row r="3" spans="1:21" x14ac:dyDescent="0.3">
      <c r="A3" s="12" t="s">
        <v>171</v>
      </c>
      <c r="B3" s="31">
        <f>SUM(B1:B2)+SUM(B1:B2)*12%</f>
        <v>1056842.3220321559</v>
      </c>
    </row>
    <row r="4" spans="1:21" ht="20.399999999999999" thickBot="1" x14ac:dyDescent="0.45">
      <c r="A4" s="55" t="s">
        <v>149</v>
      </c>
      <c r="B4" s="55"/>
      <c r="C4" s="55"/>
      <c r="D4" s="55"/>
      <c r="E4" s="55"/>
      <c r="F4" s="55"/>
      <c r="G4" s="55"/>
      <c r="H4" s="55"/>
      <c r="I4" s="55"/>
      <c r="J4" s="55"/>
      <c r="K4" s="55"/>
      <c r="L4" s="55"/>
      <c r="M4" s="55"/>
      <c r="N4" s="55"/>
      <c r="O4" s="55"/>
      <c r="P4" s="55"/>
      <c r="Q4" s="55"/>
      <c r="R4" s="55"/>
      <c r="S4" s="55"/>
      <c r="T4" s="55"/>
    </row>
    <row r="5" spans="1:21" ht="21" thickTop="1" thickBot="1" x14ac:dyDescent="0.45">
      <c r="A5" s="55" t="s">
        <v>125</v>
      </c>
      <c r="B5" s="55"/>
      <c r="C5" s="55"/>
      <c r="D5" s="55"/>
      <c r="E5" s="55"/>
      <c r="F5" s="55"/>
      <c r="G5" s="55"/>
      <c r="H5" s="55"/>
      <c r="I5" s="55"/>
      <c r="K5" s="55" t="s">
        <v>126</v>
      </c>
      <c r="L5" s="55"/>
      <c r="M5" s="55"/>
      <c r="N5" s="55"/>
      <c r="O5" s="55"/>
      <c r="P5" s="55"/>
      <c r="Q5" s="55"/>
      <c r="R5" s="55"/>
      <c r="S5" s="55"/>
      <c r="T5" s="55"/>
    </row>
    <row r="6" spans="1:21" ht="15" thickTop="1" x14ac:dyDescent="0.3">
      <c r="C6" t="s">
        <v>147</v>
      </c>
      <c r="K6" s="12" t="s">
        <v>196</v>
      </c>
      <c r="L6">
        <v>94.15</v>
      </c>
      <c r="M6" t="s">
        <v>199</v>
      </c>
      <c r="N6">
        <f>L6*1.42</f>
        <v>133.69300000000001</v>
      </c>
      <c r="O6" t="s">
        <v>197</v>
      </c>
      <c r="Q6" s="29">
        <f>N6*'Fermenter and heat exchanger'!B2</f>
        <v>2406474</v>
      </c>
      <c r="R6" s="12" t="s">
        <v>147</v>
      </c>
    </row>
    <row r="7" spans="1:21" x14ac:dyDescent="0.3">
      <c r="A7" t="s">
        <v>129</v>
      </c>
      <c r="B7" t="s">
        <v>232</v>
      </c>
      <c r="C7" s="29">
        <f>5%*B2</f>
        <v>8361.0943198746518</v>
      </c>
      <c r="E7" s="44">
        <f>C7/$C$16</f>
        <v>2.4030817840900116E-2</v>
      </c>
      <c r="K7" s="12" t="s">
        <v>127</v>
      </c>
      <c r="L7">
        <v>0</v>
      </c>
      <c r="Q7" s="29">
        <f>L7</f>
        <v>0</v>
      </c>
      <c r="R7" s="12" t="s">
        <v>147</v>
      </c>
      <c r="S7" s="42">
        <f t="shared" ref="S7:S13" si="0">Q7/$Q$14</f>
        <v>0</v>
      </c>
    </row>
    <row r="8" spans="1:21" x14ac:dyDescent="0.3">
      <c r="A8" t="s">
        <v>130</v>
      </c>
      <c r="B8" t="s">
        <v>146</v>
      </c>
      <c r="C8" s="29">
        <f>2*52*40*40</f>
        <v>166400</v>
      </c>
      <c r="D8" t="s">
        <v>148</v>
      </c>
      <c r="E8" s="44">
        <f t="shared" ref="E8:E15" si="1">C8/$C$16</f>
        <v>0.47825415379188402</v>
      </c>
      <c r="K8" s="12" t="s">
        <v>128</v>
      </c>
      <c r="L8">
        <f>6.27</f>
        <v>6.27</v>
      </c>
      <c r="M8" t="s">
        <v>237</v>
      </c>
      <c r="Q8" s="29">
        <f>L8*'Fermenter and heat exchanger'!B2*'Fermenter and heat exchanger'!B4*2%*1000*'Fermenter and heat exchanger'!B13</f>
        <v>284407.19999999995</v>
      </c>
      <c r="R8" s="12" t="s">
        <v>147</v>
      </c>
      <c r="S8" s="42">
        <f t="shared" si="0"/>
        <v>0.26293460355647996</v>
      </c>
      <c r="T8" s="33"/>
    </row>
    <row r="9" spans="1:21" x14ac:dyDescent="0.3">
      <c r="A9" t="s">
        <v>131</v>
      </c>
      <c r="B9" t="s">
        <v>231</v>
      </c>
      <c r="C9" s="29">
        <f>20%*C8</f>
        <v>33280</v>
      </c>
      <c r="E9" s="44">
        <f t="shared" si="1"/>
        <v>9.5650830758376798E-2</v>
      </c>
      <c r="K9" s="12" t="s">
        <v>176</v>
      </c>
      <c r="L9">
        <v>350</v>
      </c>
      <c r="M9" t="s">
        <v>197</v>
      </c>
      <c r="Q9" s="29">
        <f>'Fermenter and heat exchanger'!B12*'Fermenter and heat exchanger'!G6*365/1000*L9</f>
        <v>13229.999999999995</v>
      </c>
      <c r="R9" s="12" t="s">
        <v>147</v>
      </c>
      <c r="S9" s="42">
        <f t="shared" si="0"/>
        <v>1.2231141845397125E-2</v>
      </c>
    </row>
    <row r="10" spans="1:21" x14ac:dyDescent="0.3">
      <c r="A10" t="s">
        <v>132</v>
      </c>
      <c r="B10" t="s">
        <v>133</v>
      </c>
      <c r="C10" s="29">
        <f>20%*C8</f>
        <v>33280</v>
      </c>
      <c r="E10" s="44">
        <f t="shared" si="1"/>
        <v>9.5650830758376798E-2</v>
      </c>
      <c r="K10" s="12" t="s">
        <v>213</v>
      </c>
      <c r="L10">
        <v>0.03</v>
      </c>
      <c r="M10" t="s">
        <v>200</v>
      </c>
      <c r="N10">
        <f>L10*1.42</f>
        <v>4.2599999999999999E-2</v>
      </c>
      <c r="O10" t="s">
        <v>201</v>
      </c>
      <c r="Q10" s="29">
        <f>'Fermenter and heat exchanger'!L27/1000*8760*N10</f>
        <v>82970.097250067047</v>
      </c>
      <c r="R10" s="12" t="s">
        <v>147</v>
      </c>
      <c r="S10" s="42">
        <f t="shared" si="0"/>
        <v>7.6705897837639023E-2</v>
      </c>
    </row>
    <row r="11" spans="1:21" x14ac:dyDescent="0.3">
      <c r="A11" t="s">
        <v>134</v>
      </c>
      <c r="B11" t="s">
        <v>135</v>
      </c>
      <c r="C11" s="29">
        <f>50%*C8</f>
        <v>83200</v>
      </c>
      <c r="E11" s="44">
        <f t="shared" si="1"/>
        <v>0.23912707689594201</v>
      </c>
      <c r="K11" s="12" t="s">
        <v>214</v>
      </c>
      <c r="L11">
        <v>0.14499999999999999</v>
      </c>
      <c r="M11" t="s">
        <v>200</v>
      </c>
      <c r="N11">
        <f>L11*1.42</f>
        <v>0.20589999999999997</v>
      </c>
      <c r="O11" t="s">
        <v>201</v>
      </c>
      <c r="Q11" s="29">
        <f>('Pumps and pre-mixer'!C8+2*'Pumps and pre-mixer'!G8+'Pumps and pre-mixer'!K8)/1000*8760*N11</f>
        <v>4266.7026531164884</v>
      </c>
      <c r="R11" s="12" t="s">
        <v>147</v>
      </c>
      <c r="S11" s="42">
        <f>Q11/$Q$14</f>
        <v>3.9445688104610757E-3</v>
      </c>
    </row>
    <row r="12" spans="1:21" x14ac:dyDescent="0.3">
      <c r="A12" t="s">
        <v>136</v>
      </c>
      <c r="B12" t="s">
        <v>137</v>
      </c>
      <c r="C12" s="29">
        <f>10%*B2</f>
        <v>16722.188639749304</v>
      </c>
      <c r="E12" s="44">
        <f t="shared" si="1"/>
        <v>4.8061635681800233E-2</v>
      </c>
      <c r="K12" s="12" t="s">
        <v>228</v>
      </c>
      <c r="L12">
        <v>4.3</v>
      </c>
      <c r="M12" t="s">
        <v>230</v>
      </c>
      <c r="N12">
        <f>L12*1.42</f>
        <v>6.1059999999999999</v>
      </c>
      <c r="O12" t="s">
        <v>229</v>
      </c>
      <c r="Q12" s="43">
        <f>'Fermenter and heat exchanger'!G6*(100%-'Fermenter and heat exchanger'!G5)*365*(100%-90%)*'total Costs'!N12</f>
        <v>29675.159999999982</v>
      </c>
      <c r="R12" s="12" t="s">
        <v>147</v>
      </c>
      <c r="S12" s="42">
        <f t="shared" si="0"/>
        <v>2.7434700774365446E-2</v>
      </c>
    </row>
    <row r="13" spans="1:21" x14ac:dyDescent="0.3">
      <c r="A13" t="s">
        <v>138</v>
      </c>
      <c r="B13" t="s">
        <v>139</v>
      </c>
      <c r="C13" s="29">
        <f>1%*B2</f>
        <v>1672.2188639749302</v>
      </c>
      <c r="E13" s="44">
        <f t="shared" si="1"/>
        <v>4.8061635681800234E-3</v>
      </c>
      <c r="K13" s="12" t="s">
        <v>195</v>
      </c>
      <c r="L13">
        <v>3</v>
      </c>
      <c r="M13" t="s">
        <v>240</v>
      </c>
      <c r="N13">
        <f>L13*L29*L30</f>
        <v>3239999.9999999995</v>
      </c>
      <c r="O13" t="s">
        <v>239</v>
      </c>
      <c r="Q13" s="29">
        <f>N13*N11</f>
        <v>667115.99999999977</v>
      </c>
      <c r="R13" s="12" t="s">
        <v>147</v>
      </c>
      <c r="S13" s="42">
        <f t="shared" si="0"/>
        <v>0.61674908717565746</v>
      </c>
      <c r="T13">
        <f>Q13/L30</f>
        <v>12.353999999999997</v>
      </c>
      <c r="U13" t="s">
        <v>241</v>
      </c>
    </row>
    <row r="14" spans="1:21" x14ac:dyDescent="0.3">
      <c r="A14" t="s">
        <v>140</v>
      </c>
      <c r="B14" t="s">
        <v>141</v>
      </c>
      <c r="C14" s="29">
        <f>2%*B2</f>
        <v>3344.4377279498603</v>
      </c>
      <c r="E14" s="44">
        <f t="shared" si="1"/>
        <v>9.6123271363600469E-3</v>
      </c>
      <c r="N14" s="36" t="s">
        <v>173</v>
      </c>
      <c r="O14" s="36"/>
      <c r="P14" s="36"/>
      <c r="Q14" s="31">
        <f>SUM(Q7:Q13)</f>
        <v>1081665.1599031831</v>
      </c>
      <c r="R14" s="12" t="s">
        <v>147</v>
      </c>
      <c r="S14" t="s">
        <v>202</v>
      </c>
    </row>
    <row r="15" spans="1:21" x14ac:dyDescent="0.3">
      <c r="A15" t="s">
        <v>142</v>
      </c>
      <c r="B15" t="s">
        <v>139</v>
      </c>
      <c r="C15" s="29">
        <f>1%*B2</f>
        <v>1672.2188639749302</v>
      </c>
      <c r="E15" s="44">
        <f t="shared" si="1"/>
        <v>4.8061635681800234E-3</v>
      </c>
    </row>
    <row r="16" spans="1:21" x14ac:dyDescent="0.3">
      <c r="B16" s="12" t="s">
        <v>174</v>
      </c>
      <c r="C16" s="31">
        <f>SUM(C7:C15)</f>
        <v>347932.15841552365</v>
      </c>
      <c r="D16" s="12" t="s">
        <v>147</v>
      </c>
      <c r="P16" s="45"/>
      <c r="Q16" s="45"/>
    </row>
    <row r="17" spans="1:20" x14ac:dyDescent="0.3">
      <c r="A17" s="32"/>
      <c r="B17" s="32"/>
      <c r="C17" s="32"/>
      <c r="D17" s="32"/>
      <c r="E17" s="32"/>
      <c r="F17" s="32"/>
      <c r="G17" s="32"/>
      <c r="H17" s="32"/>
      <c r="I17" s="32"/>
      <c r="J17" s="32"/>
      <c r="K17" s="32"/>
      <c r="L17" s="32"/>
      <c r="M17" s="32"/>
      <c r="N17" s="32"/>
      <c r="O17" s="32"/>
      <c r="P17" s="46"/>
      <c r="Q17" s="46"/>
      <c r="R17" s="46"/>
      <c r="S17" s="46"/>
      <c r="T17" s="46"/>
    </row>
    <row r="18" spans="1:20" x14ac:dyDescent="0.3">
      <c r="A18" s="12" t="s">
        <v>144</v>
      </c>
      <c r="B18" s="12" t="s">
        <v>143</v>
      </c>
      <c r="C18" s="31">
        <f>C16+Q14</f>
        <v>1429597.3183187067</v>
      </c>
      <c r="D18" s="12" t="s">
        <v>147</v>
      </c>
    </row>
    <row r="19" spans="1:20" x14ac:dyDescent="0.3">
      <c r="A19" s="12" t="s">
        <v>145</v>
      </c>
      <c r="B19" s="12" t="s">
        <v>236</v>
      </c>
      <c r="C19" s="31">
        <f>C18*1.2</f>
        <v>1715516.781982448</v>
      </c>
      <c r="D19" s="12" t="s">
        <v>147</v>
      </c>
    </row>
    <row r="21" spans="1:20" x14ac:dyDescent="0.3">
      <c r="Q21" s="41"/>
    </row>
    <row r="23" spans="1:20" ht="20.399999999999999" thickBot="1" x14ac:dyDescent="0.45">
      <c r="A23" s="25"/>
      <c r="B23" s="25" t="s">
        <v>172</v>
      </c>
      <c r="C23" s="25"/>
      <c r="D23" s="25"/>
      <c r="E23" s="25"/>
      <c r="F23" s="25"/>
      <c r="G23" s="25"/>
      <c r="H23" s="25"/>
      <c r="I23" s="25"/>
      <c r="K23" s="55" t="s">
        <v>177</v>
      </c>
      <c r="L23" s="55"/>
      <c r="M23" s="55"/>
      <c r="N23" s="55"/>
      <c r="O23" s="55"/>
      <c r="P23" s="55"/>
      <c r="Q23" s="55"/>
      <c r="R23" s="55"/>
      <c r="S23" s="55"/>
      <c r="T23" s="55"/>
    </row>
    <row r="24" spans="1:20" ht="15" thickTop="1" x14ac:dyDescent="0.3">
      <c r="B24" t="s">
        <v>180</v>
      </c>
      <c r="C24" s="33">
        <v>0.15</v>
      </c>
    </row>
    <row r="25" spans="1:20" x14ac:dyDescent="0.3">
      <c r="B25" t="s">
        <v>178</v>
      </c>
      <c r="C25" s="12" t="s">
        <v>102</v>
      </c>
      <c r="K25" t="s">
        <v>182</v>
      </c>
      <c r="L25">
        <v>0.89</v>
      </c>
      <c r="M25" t="s">
        <v>183</v>
      </c>
    </row>
    <row r="26" spans="1:20" x14ac:dyDescent="0.3">
      <c r="A26" s="12" t="s">
        <v>175</v>
      </c>
      <c r="B26" s="12" t="s">
        <v>179</v>
      </c>
      <c r="C26" s="12" t="s">
        <v>181</v>
      </c>
      <c r="D26" s="12" t="s">
        <v>222</v>
      </c>
      <c r="K26" t="s">
        <v>184</v>
      </c>
      <c r="L26">
        <v>2.2000000000000002</v>
      </c>
      <c r="M26" t="s">
        <v>183</v>
      </c>
    </row>
    <row r="27" spans="1:20" x14ac:dyDescent="0.3">
      <c r="A27">
        <v>-1</v>
      </c>
      <c r="B27" s="30">
        <f>-B3*0.4</f>
        <v>-422736.92881286237</v>
      </c>
      <c r="D27" s="29">
        <f>B27</f>
        <v>-422736.92881286237</v>
      </c>
      <c r="K27" t="s">
        <v>185</v>
      </c>
      <c r="L27">
        <v>2.5499999999999998</v>
      </c>
      <c r="M27" t="s">
        <v>183</v>
      </c>
    </row>
    <row r="28" spans="1:20" x14ac:dyDescent="0.3">
      <c r="A28">
        <v>0</v>
      </c>
      <c r="B28" s="30">
        <f>-B3*0.6</f>
        <v>-634105.39321929356</v>
      </c>
      <c r="D28" s="29">
        <f>+D27+B28/(1+$C$24)^A28</f>
        <v>-1056842.3220321559</v>
      </c>
      <c r="K28" t="s">
        <v>186</v>
      </c>
      <c r="L28">
        <v>1.88</v>
      </c>
      <c r="M28" t="s">
        <v>183</v>
      </c>
    </row>
    <row r="29" spans="1:20" x14ac:dyDescent="0.3">
      <c r="A29">
        <v>1</v>
      </c>
      <c r="B29" s="30">
        <f>-$C$19+$L$36</f>
        <v>675854.31801755168</v>
      </c>
      <c r="D29" s="29">
        <f>+D28+B29/(1+$C$24)^A29</f>
        <v>-469142.91506037186</v>
      </c>
      <c r="K29" t="s">
        <v>187</v>
      </c>
      <c r="L29">
        <v>20</v>
      </c>
      <c r="M29" t="s">
        <v>188</v>
      </c>
      <c r="O29" t="s">
        <v>243</v>
      </c>
      <c r="P29">
        <f>(1.07+1.51+1.82)/3</f>
        <v>1.4666666666666668</v>
      </c>
      <c r="Q29">
        <f>P29*L29</f>
        <v>29.333333333333336</v>
      </c>
      <c r="R29" t="s">
        <v>244</v>
      </c>
    </row>
    <row r="30" spans="1:20" x14ac:dyDescent="0.3">
      <c r="A30">
        <v>2</v>
      </c>
      <c r="B30" s="30">
        <f t="shared" ref="B30:B53" si="2">-$C$19+$L$36</f>
        <v>675854.31801755168</v>
      </c>
      <c r="D30" s="29">
        <f t="shared" ref="D30:D53" si="3">+D29+B30/(1+$C$24)^A30</f>
        <v>41900.047523788293</v>
      </c>
      <c r="K30" t="s">
        <v>189</v>
      </c>
      <c r="L30" s="30">
        <f>'Fermenter and heat exchanger'!G6*365</f>
        <v>53999.999999999993</v>
      </c>
      <c r="M30" t="s">
        <v>190</v>
      </c>
    </row>
    <row r="31" spans="1:20" x14ac:dyDescent="0.3">
      <c r="A31">
        <v>3</v>
      </c>
      <c r="B31" s="30">
        <f t="shared" si="2"/>
        <v>675854.31801755168</v>
      </c>
      <c r="D31" s="29">
        <f t="shared" si="3"/>
        <v>486285.2323795798</v>
      </c>
      <c r="K31" t="s">
        <v>189</v>
      </c>
      <c r="L31" s="30">
        <f>L30*L29</f>
        <v>1079999.9999999998</v>
      </c>
      <c r="M31" t="s">
        <v>191</v>
      </c>
      <c r="N31" t="s">
        <v>192</v>
      </c>
    </row>
    <row r="32" spans="1:20" x14ac:dyDescent="0.3">
      <c r="A32">
        <v>4</v>
      </c>
      <c r="B32" s="30">
        <f t="shared" si="2"/>
        <v>675854.31801755168</v>
      </c>
      <c r="D32" s="29">
        <f t="shared" si="3"/>
        <v>872707.13225418108</v>
      </c>
      <c r="K32" s="12" t="s">
        <v>193</v>
      </c>
      <c r="L32" s="28">
        <f>L31*L28</f>
        <v>2030399.9999999995</v>
      </c>
      <c r="M32" s="12" t="s">
        <v>147</v>
      </c>
      <c r="N32" s="12"/>
    </row>
    <row r="33" spans="1:13" x14ac:dyDescent="0.3">
      <c r="A33">
        <v>5</v>
      </c>
      <c r="B33" s="30">
        <f t="shared" si="2"/>
        <v>675854.31801755168</v>
      </c>
      <c r="D33" s="29">
        <f t="shared" si="3"/>
        <v>1208726.1756233997</v>
      </c>
      <c r="K33" s="12"/>
      <c r="L33" s="12"/>
      <c r="M33" s="12"/>
    </row>
    <row r="34" spans="1:13" x14ac:dyDescent="0.3">
      <c r="A34">
        <v>6</v>
      </c>
      <c r="B34" s="30">
        <f t="shared" si="2"/>
        <v>675854.31801755168</v>
      </c>
      <c r="D34" s="29">
        <f t="shared" si="3"/>
        <v>1500916.6481183723</v>
      </c>
      <c r="K34" s="12" t="s">
        <v>194</v>
      </c>
      <c r="L34" s="28">
        <f>N6*'Fermenter and heat exchanger'!B2*'Fermenter and heat exchanger'!B8</f>
        <v>360971.1</v>
      </c>
      <c r="M34" s="12" t="s">
        <v>147</v>
      </c>
    </row>
    <row r="35" spans="1:13" x14ac:dyDescent="0.3">
      <c r="A35">
        <v>7</v>
      </c>
      <c r="B35" s="30">
        <f t="shared" si="2"/>
        <v>675854.31801755168</v>
      </c>
      <c r="D35" s="29">
        <f t="shared" si="3"/>
        <v>1754995.3198531312</v>
      </c>
    </row>
    <row r="36" spans="1:13" x14ac:dyDescent="0.3">
      <c r="A36">
        <v>8</v>
      </c>
      <c r="B36" s="30">
        <f t="shared" si="2"/>
        <v>675854.31801755168</v>
      </c>
      <c r="D36" s="29">
        <f t="shared" si="3"/>
        <v>1975933.2952746607</v>
      </c>
      <c r="K36" s="12" t="s">
        <v>245</v>
      </c>
      <c r="L36" s="28">
        <f>L32+L34</f>
        <v>2391371.0999999996</v>
      </c>
      <c r="M36" s="12" t="s">
        <v>147</v>
      </c>
    </row>
    <row r="37" spans="1:13" x14ac:dyDescent="0.3">
      <c r="A37">
        <v>9</v>
      </c>
      <c r="B37" s="30">
        <f t="shared" si="2"/>
        <v>675854.31801755168</v>
      </c>
      <c r="D37" s="29">
        <f t="shared" si="3"/>
        <v>2168053.2739020777</v>
      </c>
    </row>
    <row r="38" spans="1:13" x14ac:dyDescent="0.3">
      <c r="A38">
        <v>10</v>
      </c>
      <c r="B38" s="30">
        <f t="shared" si="2"/>
        <v>675854.31801755168</v>
      </c>
      <c r="D38" s="29">
        <f t="shared" si="3"/>
        <v>2335114.1248824401</v>
      </c>
    </row>
    <row r="39" spans="1:13" x14ac:dyDescent="0.3">
      <c r="A39">
        <v>11</v>
      </c>
      <c r="B39" s="30">
        <f t="shared" si="2"/>
        <v>675854.31801755168</v>
      </c>
      <c r="D39" s="29">
        <f t="shared" si="3"/>
        <v>2480384.4300827552</v>
      </c>
    </row>
    <row r="40" spans="1:13" x14ac:dyDescent="0.3">
      <c r="A40">
        <v>12</v>
      </c>
      <c r="B40" s="30">
        <f t="shared" si="2"/>
        <v>675854.31801755168</v>
      </c>
      <c r="D40" s="29">
        <f t="shared" si="3"/>
        <v>2606706.4346047686</v>
      </c>
    </row>
    <row r="41" spans="1:13" x14ac:dyDescent="0.3">
      <c r="A41">
        <v>13</v>
      </c>
      <c r="B41" s="30">
        <f t="shared" si="2"/>
        <v>675854.31801755168</v>
      </c>
      <c r="D41" s="29">
        <f t="shared" si="3"/>
        <v>2716551.6559282583</v>
      </c>
    </row>
    <row r="42" spans="1:13" x14ac:dyDescent="0.3">
      <c r="A42">
        <v>14</v>
      </c>
      <c r="B42" s="30">
        <f t="shared" si="2"/>
        <v>675854.31801755168</v>
      </c>
      <c r="D42" s="29">
        <f t="shared" si="3"/>
        <v>2812069.2396878148</v>
      </c>
    </row>
    <row r="43" spans="1:13" x14ac:dyDescent="0.3">
      <c r="A43">
        <v>15</v>
      </c>
      <c r="B43" s="30">
        <f t="shared" si="2"/>
        <v>675854.31801755168</v>
      </c>
      <c r="D43" s="29">
        <f t="shared" si="3"/>
        <v>2895128.0081743859</v>
      </c>
    </row>
    <row r="44" spans="1:13" x14ac:dyDescent="0.3">
      <c r="A44">
        <v>16</v>
      </c>
      <c r="B44" s="30">
        <f t="shared" si="2"/>
        <v>675854.31801755168</v>
      </c>
      <c r="D44" s="29">
        <f t="shared" si="3"/>
        <v>2967353.024249665</v>
      </c>
    </row>
    <row r="45" spans="1:13" x14ac:dyDescent="0.3">
      <c r="A45">
        <v>17</v>
      </c>
      <c r="B45" s="30">
        <f t="shared" si="2"/>
        <v>675854.31801755168</v>
      </c>
      <c r="D45" s="29">
        <f t="shared" si="3"/>
        <v>3030157.3860542555</v>
      </c>
    </row>
    <row r="46" spans="1:13" x14ac:dyDescent="0.3">
      <c r="A46">
        <v>18</v>
      </c>
      <c r="B46" s="30">
        <f t="shared" si="2"/>
        <v>675854.31801755168</v>
      </c>
      <c r="D46" s="29">
        <f t="shared" si="3"/>
        <v>3084769.8745799866</v>
      </c>
    </row>
    <row r="47" spans="1:13" x14ac:dyDescent="0.3">
      <c r="A47">
        <v>19</v>
      </c>
      <c r="B47" s="30">
        <f t="shared" si="2"/>
        <v>675854.31801755168</v>
      </c>
      <c r="D47" s="29">
        <f t="shared" si="3"/>
        <v>3132258.9950371436</v>
      </c>
    </row>
    <row r="48" spans="1:13" x14ac:dyDescent="0.3">
      <c r="A48">
        <v>20</v>
      </c>
      <c r="B48" s="30">
        <f t="shared" si="2"/>
        <v>675854.31801755168</v>
      </c>
      <c r="D48" s="29">
        <f t="shared" si="3"/>
        <v>3173553.8823911934</v>
      </c>
    </row>
    <row r="49" spans="1:4" x14ac:dyDescent="0.3">
      <c r="A49">
        <v>21</v>
      </c>
      <c r="B49" s="30">
        <f t="shared" si="2"/>
        <v>675854.31801755168</v>
      </c>
      <c r="D49" s="29">
        <f t="shared" si="3"/>
        <v>3209462.4800903671</v>
      </c>
    </row>
    <row r="50" spans="1:4" x14ac:dyDescent="0.3">
      <c r="A50">
        <v>22</v>
      </c>
      <c r="B50" s="30">
        <f t="shared" si="2"/>
        <v>675854.31801755168</v>
      </c>
      <c r="D50" s="29">
        <f t="shared" si="3"/>
        <v>3240687.3476548661</v>
      </c>
    </row>
    <row r="51" spans="1:4" x14ac:dyDescent="0.3">
      <c r="A51">
        <v>23</v>
      </c>
      <c r="B51" s="30">
        <f t="shared" si="2"/>
        <v>675854.31801755168</v>
      </c>
      <c r="D51" s="29">
        <f t="shared" si="3"/>
        <v>3267839.4064066042</v>
      </c>
    </row>
    <row r="52" spans="1:4" x14ac:dyDescent="0.3">
      <c r="A52">
        <v>24</v>
      </c>
      <c r="B52" s="30">
        <f t="shared" si="2"/>
        <v>675854.31801755168</v>
      </c>
      <c r="D52" s="29">
        <f t="shared" si="3"/>
        <v>3291449.8922776808</v>
      </c>
    </row>
    <row r="53" spans="1:4" x14ac:dyDescent="0.3">
      <c r="A53">
        <v>25</v>
      </c>
      <c r="B53" s="30">
        <f t="shared" si="2"/>
        <v>675854.31801755168</v>
      </c>
      <c r="D53" s="29">
        <f t="shared" si="3"/>
        <v>3311980.7495568781</v>
      </c>
    </row>
    <row r="54" spans="1:4" x14ac:dyDescent="0.3">
      <c r="B54" s="30"/>
      <c r="D54" s="30"/>
    </row>
    <row r="55" spans="1:4" x14ac:dyDescent="0.3">
      <c r="B55" s="30"/>
    </row>
    <row r="56" spans="1:4" x14ac:dyDescent="0.3">
      <c r="B56" s="30"/>
    </row>
    <row r="57" spans="1:4" x14ac:dyDescent="0.3">
      <c r="B57" s="30"/>
    </row>
    <row r="58" spans="1:4" x14ac:dyDescent="0.3">
      <c r="B58" s="30"/>
    </row>
    <row r="59" spans="1:4" x14ac:dyDescent="0.3">
      <c r="B59" s="30"/>
    </row>
    <row r="60" spans="1:4" x14ac:dyDescent="0.3">
      <c r="B60" s="30"/>
    </row>
    <row r="61" spans="1:4" x14ac:dyDescent="0.3">
      <c r="B61" s="30"/>
    </row>
  </sheetData>
  <mergeCells count="4">
    <mergeCell ref="A5:I5"/>
    <mergeCell ref="K5:T5"/>
    <mergeCell ref="A4:T4"/>
    <mergeCell ref="K23:T23"/>
  </mergeCells>
  <pageMargins left="0.7" right="0.7" top="0.75" bottom="0.75" header="0.3" footer="0.3"/>
  <pageSetup paperSize="9" orientation="portrait" r:id="rId1"/>
  <headerFooter>
    <oddHeader>&amp;R&amp;"Calibri"&amp;10&amp;K000000 PUBLIC / CYHOEDDUS&amp;1#_x000D_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DBD22D-74A4-4DB3-8520-E0F59BB9FB16}">
  <dimension ref="A2:G30"/>
  <sheetViews>
    <sheetView tabSelected="1" workbookViewId="0">
      <selection activeCell="R15" sqref="R15"/>
    </sheetView>
  </sheetViews>
  <sheetFormatPr defaultRowHeight="14.4" x14ac:dyDescent="0.3"/>
  <cols>
    <col min="1" max="1" width="17" customWidth="1"/>
    <col min="3" max="3" width="11.109375" bestFit="1" customWidth="1"/>
  </cols>
  <sheetData>
    <row r="2" spans="1:7" x14ac:dyDescent="0.3">
      <c r="B2" t="s">
        <v>247</v>
      </c>
    </row>
    <row r="3" spans="1:7" x14ac:dyDescent="0.3">
      <c r="A3" s="12" t="s">
        <v>246</v>
      </c>
      <c r="B3">
        <v>1</v>
      </c>
      <c r="C3">
        <v>1.2</v>
      </c>
      <c r="D3">
        <v>1.4</v>
      </c>
      <c r="E3">
        <v>1.6</v>
      </c>
      <c r="F3">
        <v>1.88</v>
      </c>
      <c r="G3">
        <v>2</v>
      </c>
    </row>
    <row r="4" spans="1:7" x14ac:dyDescent="0.3">
      <c r="A4">
        <v>-1</v>
      </c>
      <c r="B4">
        <v>-422736.92881286237</v>
      </c>
      <c r="C4" s="49">
        <v>-422736.92881286237</v>
      </c>
      <c r="D4">
        <v>-422736.92881286237</v>
      </c>
      <c r="E4">
        <v>-422736.92881286237</v>
      </c>
      <c r="F4">
        <v>-422736.92881286237</v>
      </c>
      <c r="G4">
        <v>-422736.92881286237</v>
      </c>
    </row>
    <row r="5" spans="1:7" x14ac:dyDescent="0.3">
      <c r="A5">
        <v>0</v>
      </c>
      <c r="B5">
        <v>-1056842.3220321559</v>
      </c>
      <c r="C5" s="49">
        <v>-1056842.3220321559</v>
      </c>
      <c r="D5">
        <v>-1056842.3220321559</v>
      </c>
      <c r="E5">
        <v>-1056842.3220321559</v>
      </c>
      <c r="F5">
        <v>-1056842.3220321559</v>
      </c>
      <c r="G5">
        <v>-1056842.3220321559</v>
      </c>
    </row>
    <row r="6" spans="1:7" x14ac:dyDescent="0.3">
      <c r="A6">
        <v>1</v>
      </c>
      <c r="B6">
        <v>-1295577.6976690674</v>
      </c>
      <c r="C6" s="49">
        <v>-1107751.6107125457</v>
      </c>
      <c r="D6">
        <v>-919925.52375602396</v>
      </c>
      <c r="E6">
        <v>-732099.43679950223</v>
      </c>
      <c r="F6">
        <v>-469142.91506037186</v>
      </c>
      <c r="G6">
        <v>-356447.26288645878</v>
      </c>
    </row>
    <row r="7" spans="1:7" x14ac:dyDescent="0.3">
      <c r="A7">
        <v>2</v>
      </c>
      <c r="B7">
        <v>-1503173.6764837732</v>
      </c>
      <c r="C7" s="49">
        <v>-1152020.5573911455</v>
      </c>
      <c r="D7">
        <v>-800867.43829851795</v>
      </c>
      <c r="E7">
        <v>-449714.31920589035</v>
      </c>
      <c r="F7">
        <v>41900.047523788293</v>
      </c>
      <c r="G7">
        <v>252591.91897936491</v>
      </c>
    </row>
    <row r="8" spans="1:7" x14ac:dyDescent="0.3">
      <c r="A8">
        <v>3</v>
      </c>
      <c r="B8">
        <v>-1683691.9189313434</v>
      </c>
      <c r="C8" s="49">
        <v>-1190515.2936334063</v>
      </c>
      <c r="D8">
        <v>-697338.66833546921</v>
      </c>
      <c r="E8">
        <v>-204162.04303753213</v>
      </c>
      <c r="F8">
        <v>486285.2323795798</v>
      </c>
      <c r="G8">
        <v>782191.20755834214</v>
      </c>
    </row>
    <row r="9" spans="1:7" x14ac:dyDescent="0.3">
      <c r="A9">
        <v>4</v>
      </c>
      <c r="B9">
        <v>-1840664.3036683609</v>
      </c>
      <c r="C9" s="49">
        <v>-1223988.9773223286</v>
      </c>
      <c r="D9">
        <v>-607313.6509762964</v>
      </c>
      <c r="E9">
        <v>9361.6753697358945</v>
      </c>
      <c r="F9">
        <v>872707.13225418108</v>
      </c>
      <c r="G9">
        <v>1242712.3280618005</v>
      </c>
    </row>
    <row r="10" spans="1:7" x14ac:dyDescent="0.3">
      <c r="A10">
        <v>5</v>
      </c>
      <c r="B10">
        <v>-1977162.0295266372</v>
      </c>
      <c r="C10" s="49">
        <v>-1253096.5283561742</v>
      </c>
      <c r="D10">
        <v>-529031.02718571131</v>
      </c>
      <c r="E10">
        <v>195034.47398475156</v>
      </c>
      <c r="F10">
        <v>1208726.1756233997</v>
      </c>
      <c r="G10">
        <v>1643165.4763256772</v>
      </c>
    </row>
    <row r="11" spans="1:7" x14ac:dyDescent="0.3">
      <c r="A11">
        <v>6</v>
      </c>
      <c r="B11">
        <v>-2095855.7041860078</v>
      </c>
      <c r="C11" s="49">
        <v>-1278407.4422986486</v>
      </c>
      <c r="D11">
        <v>-460959.18041128956</v>
      </c>
      <c r="E11">
        <v>356489.08147606952</v>
      </c>
      <c r="F11">
        <v>1500916.6481183723</v>
      </c>
      <c r="G11">
        <v>1991385.6052507877</v>
      </c>
    </row>
    <row r="12" spans="1:7" x14ac:dyDescent="0.3">
      <c r="A12">
        <v>7</v>
      </c>
      <c r="B12">
        <v>-2199067.5951941563</v>
      </c>
      <c r="C12" s="49">
        <v>-1300416.932683409</v>
      </c>
      <c r="D12">
        <v>-401766.27017266193</v>
      </c>
      <c r="E12">
        <v>496884.39233808522</v>
      </c>
      <c r="F12">
        <v>1754995.3198531312</v>
      </c>
      <c r="G12">
        <v>2294185.7173595792</v>
      </c>
    </row>
    <row r="13" spans="1:7" x14ac:dyDescent="0.3">
      <c r="A13">
        <v>8</v>
      </c>
      <c r="B13">
        <v>-2288817.0656360243</v>
      </c>
      <c r="C13" s="49">
        <v>-1319555.6199745049</v>
      </c>
      <c r="D13">
        <v>-350294.17431298574</v>
      </c>
      <c r="E13">
        <v>618967.27134853369</v>
      </c>
      <c r="F13">
        <v>1975933.2952746607</v>
      </c>
      <c r="G13">
        <v>2557490.1626715721</v>
      </c>
    </row>
    <row r="14" spans="1:7" x14ac:dyDescent="0.3">
      <c r="A14">
        <v>9</v>
      </c>
      <c r="B14">
        <v>-2366860.0834115618</v>
      </c>
      <c r="C14" s="49">
        <v>-1336197.956749371</v>
      </c>
      <c r="D14">
        <v>-305535.83008718031</v>
      </c>
      <c r="E14">
        <v>725126.29657501052</v>
      </c>
      <c r="F14">
        <v>2168053.2739020777</v>
      </c>
      <c r="G14">
        <v>2786450.5498993918</v>
      </c>
    </row>
    <row r="15" spans="1:7" x14ac:dyDescent="0.3">
      <c r="A15">
        <v>10</v>
      </c>
      <c r="B15">
        <v>-2434723.5771294204</v>
      </c>
      <c r="C15" s="49">
        <v>-1350669.5539449067</v>
      </c>
      <c r="D15">
        <v>-266615.53076039301</v>
      </c>
      <c r="E15">
        <v>817438.49242412089</v>
      </c>
      <c r="F15">
        <v>2335114.1248824401</v>
      </c>
      <c r="G15">
        <v>2985546.5387931485</v>
      </c>
    </row>
    <row r="16" spans="1:7" x14ac:dyDescent="0.3">
      <c r="A16">
        <v>11</v>
      </c>
      <c r="B16">
        <v>-2493735.3107971237</v>
      </c>
      <c r="C16" s="49">
        <v>-1363253.551506242</v>
      </c>
      <c r="D16">
        <v>-232771.79221536056</v>
      </c>
      <c r="E16">
        <v>897709.96707552124</v>
      </c>
      <c r="F16">
        <v>2480384.4300827552</v>
      </c>
      <c r="G16">
        <v>3158673.4856572845</v>
      </c>
    </row>
    <row r="17" spans="1:7" x14ac:dyDescent="0.3">
      <c r="A17">
        <v>12</v>
      </c>
      <c r="B17">
        <v>-2545049.861812518</v>
      </c>
      <c r="C17" s="49">
        <v>-1374196.1580813164</v>
      </c>
      <c r="D17">
        <v>-203342.45435011495</v>
      </c>
      <c r="E17">
        <v>967511.24938108679</v>
      </c>
      <c r="F17">
        <v>2606706.4346047686</v>
      </c>
      <c r="G17">
        <v>3309218.65684349</v>
      </c>
    </row>
    <row r="18" spans="1:7" x14ac:dyDescent="0.3">
      <c r="A18">
        <v>13</v>
      </c>
      <c r="B18">
        <v>-2589671.2105215564</v>
      </c>
      <c r="C18" s="49">
        <v>-1383711.4681465984</v>
      </c>
      <c r="D18">
        <v>-177751.72577164049</v>
      </c>
      <c r="E18">
        <v>1028208.0166033177</v>
      </c>
      <c r="F18">
        <v>2716551.6559282583</v>
      </c>
      <c r="G18">
        <v>3440127.5013532336</v>
      </c>
    </row>
    <row r="19" spans="1:7" x14ac:dyDescent="0.3">
      <c r="A19">
        <v>14</v>
      </c>
      <c r="B19">
        <v>-2628472.3833120246</v>
      </c>
      <c r="C19" s="49">
        <v>-1391985.650812061</v>
      </c>
      <c r="D19">
        <v>-155498.91831209749</v>
      </c>
      <c r="E19">
        <v>1080987.8141878662</v>
      </c>
      <c r="F19">
        <v>2812069.2396878148</v>
      </c>
      <c r="G19">
        <v>3553961.2791877934</v>
      </c>
    </row>
    <row r="20" spans="1:7" x14ac:dyDescent="0.3">
      <c r="A20">
        <v>15</v>
      </c>
      <c r="B20">
        <v>-2662212.5335646058</v>
      </c>
      <c r="C20" s="49">
        <v>-1399180.5922602895</v>
      </c>
      <c r="D20">
        <v>-136148.65095597313</v>
      </c>
      <c r="E20">
        <v>1126883.2903483433</v>
      </c>
      <c r="F20">
        <v>2895128.0081743859</v>
      </c>
      <c r="G20">
        <v>3652947.1729569756</v>
      </c>
    </row>
    <row r="21" spans="1:7" x14ac:dyDescent="0.3">
      <c r="A21">
        <v>16</v>
      </c>
      <c r="B21">
        <v>-2691551.7946538068</v>
      </c>
      <c r="C21" s="49">
        <v>-1405437.0630848359</v>
      </c>
      <c r="D21">
        <v>-119322.33151586499</v>
      </c>
      <c r="E21">
        <v>1166792.400053106</v>
      </c>
      <c r="F21">
        <v>2967353.024249665</v>
      </c>
      <c r="G21">
        <v>3739021.8631910472</v>
      </c>
    </row>
    <row r="22" spans="1:7" x14ac:dyDescent="0.3">
      <c r="A22">
        <v>17</v>
      </c>
      <c r="B22">
        <v>-2717064.1956009381</v>
      </c>
      <c r="C22" s="49">
        <v>-1410877.4724974849</v>
      </c>
      <c r="D22">
        <v>-104690.74939403182</v>
      </c>
      <c r="E22">
        <v>1201495.9737094215</v>
      </c>
      <c r="F22">
        <v>3030157.3860542555</v>
      </c>
      <c r="G22">
        <v>3813869.4199163271</v>
      </c>
    </row>
    <row r="23" spans="1:7" x14ac:dyDescent="0.3">
      <c r="A23">
        <v>18</v>
      </c>
      <c r="B23">
        <v>-2739248.8920767042</v>
      </c>
      <c r="C23" s="49">
        <v>-1415608.2632910928</v>
      </c>
      <c r="D23">
        <v>-91967.634505481241</v>
      </c>
      <c r="E23">
        <v>1231672.9942801304</v>
      </c>
      <c r="F23">
        <v>3084769.8745799866</v>
      </c>
      <c r="G23">
        <v>3878954.2518513529</v>
      </c>
    </row>
    <row r="24" spans="1:7" x14ac:dyDescent="0.3">
      <c r="A24">
        <v>19</v>
      </c>
      <c r="B24">
        <v>-2758539.932490414</v>
      </c>
      <c r="C24" s="49">
        <v>-1419721.9944159691</v>
      </c>
      <c r="D24">
        <v>-80904.056341524221</v>
      </c>
      <c r="E24">
        <v>1257913.8817329209</v>
      </c>
      <c r="F24">
        <v>3132258.9950371436</v>
      </c>
      <c r="G24">
        <v>3935549.75788181</v>
      </c>
    </row>
    <row r="25" spans="1:7" x14ac:dyDescent="0.3">
      <c r="A25">
        <v>20</v>
      </c>
      <c r="B25">
        <v>-2775314.7502414659</v>
      </c>
      <c r="C25" s="49">
        <v>-1423299.1519158615</v>
      </c>
      <c r="D25">
        <v>-71283.553590257245</v>
      </c>
      <c r="E25">
        <v>1280732.0447353474</v>
      </c>
      <c r="F25">
        <v>3173553.8823911934</v>
      </c>
      <c r="G25">
        <v>3984763.2413865556</v>
      </c>
    </row>
    <row r="26" spans="1:7" x14ac:dyDescent="0.3">
      <c r="A26">
        <v>21</v>
      </c>
      <c r="B26">
        <v>-2789901.5482858587</v>
      </c>
      <c r="C26" s="49">
        <v>-1426409.7236548986</v>
      </c>
      <c r="D26">
        <v>-62917.899023938131</v>
      </c>
      <c r="E26">
        <v>1300573.9256070226</v>
      </c>
      <c r="F26">
        <v>3209462.4800903671</v>
      </c>
      <c r="G26">
        <v>4027557.5748689431</v>
      </c>
    </row>
    <row r="27" spans="1:7" x14ac:dyDescent="0.3">
      <c r="A27">
        <v>22</v>
      </c>
      <c r="B27">
        <v>-2802585.7204983742</v>
      </c>
      <c r="C27" s="49">
        <v>-1429114.5686453655</v>
      </c>
      <c r="D27">
        <v>-55643.416792356293</v>
      </c>
      <c r="E27">
        <v>1317827.7350606532</v>
      </c>
      <c r="F27">
        <v>3240687.3476548661</v>
      </c>
      <c r="G27">
        <v>4064770.0387666714</v>
      </c>
    </row>
    <row r="28" spans="1:7" x14ac:dyDescent="0.3">
      <c r="A28">
        <v>23</v>
      </c>
      <c r="B28">
        <v>-2813615.4354657792</v>
      </c>
      <c r="C28" s="49">
        <v>-1431466.6077675107</v>
      </c>
      <c r="D28">
        <v>-49317.780069241649</v>
      </c>
      <c r="E28">
        <v>1332831.0476290276</v>
      </c>
      <c r="F28">
        <v>3267839.4064066042</v>
      </c>
      <c r="G28">
        <v>4097128.7030255655</v>
      </c>
    </row>
    <row r="29" spans="1:7" x14ac:dyDescent="0.3">
      <c r="A29">
        <v>24</v>
      </c>
      <c r="B29">
        <v>-2823206.4919591746</v>
      </c>
      <c r="C29" s="49">
        <v>-1433511.8591780716</v>
      </c>
      <c r="D29">
        <v>-43817.22639696805</v>
      </c>
      <c r="E29">
        <v>1345877.4063841358</v>
      </c>
      <c r="F29">
        <v>3291449.8922776808</v>
      </c>
      <c r="G29">
        <v>4125266.671946343</v>
      </c>
    </row>
    <row r="30" spans="1:7" x14ac:dyDescent="0.3">
      <c r="A30">
        <v>25</v>
      </c>
      <c r="B30">
        <v>-2831546.5410838663</v>
      </c>
      <c r="C30" s="49">
        <v>-1435290.3386655159</v>
      </c>
      <c r="D30">
        <v>-39034.136247164919</v>
      </c>
      <c r="E30">
        <v>1357222.0661711865</v>
      </c>
      <c r="F30">
        <v>3311980.7495568781</v>
      </c>
      <c r="G30">
        <v>4149734.4710078887</v>
      </c>
    </row>
  </sheetData>
  <pageMargins left="0.7" right="0.7" top="0.75" bottom="0.75" header="0.3" footer="0.3"/>
  <headerFooter>
    <oddHeader>&amp;R&amp;"Calibri"&amp;10&amp;K000000 PUBLIC / CYHOEDDUS&amp;1#_x000D_</oddHead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07DE1E-AC3B-4D18-B9EF-85685429DC5F}">
  <dimension ref="B3:C5"/>
  <sheetViews>
    <sheetView workbookViewId="0">
      <selection activeCell="B5" sqref="B5"/>
    </sheetView>
  </sheetViews>
  <sheetFormatPr defaultRowHeight="14.4" x14ac:dyDescent="0.3"/>
  <cols>
    <col min="2" max="2" width="12" bestFit="1" customWidth="1"/>
  </cols>
  <sheetData>
    <row r="3" spans="2:3" x14ac:dyDescent="0.3">
      <c r="B3">
        <f>'Fermenter and heat exchanger'!G8*10</f>
        <v>7397.2602739726017</v>
      </c>
      <c r="C3" t="s">
        <v>242</v>
      </c>
    </row>
    <row r="4" spans="2:3" x14ac:dyDescent="0.3">
      <c r="B4">
        <f>B3*1000/60/60</f>
        <v>2054.794520547945</v>
      </c>
      <c r="C4" t="s">
        <v>113</v>
      </c>
    </row>
    <row r="5" spans="2:3" x14ac:dyDescent="0.3">
      <c r="B5">
        <f>B4/5</f>
        <v>410.95890410958901</v>
      </c>
      <c r="C5" t="s">
        <v>113</v>
      </c>
    </row>
  </sheetData>
  <pageMargins left="0.7" right="0.7" top="0.75" bottom="0.75" header="0.3" footer="0.3"/>
  <headerFooter>
    <oddHeader>&amp;R&amp;"Calibri"&amp;10&amp;K000000 PUBLIC / CYHOEDDUS&amp;1#_x000D_</oddHeader>
  </headerFooter>
</worksheet>
</file>

<file path=docMetadata/LabelInfo.xml><?xml version="1.0" encoding="utf-8"?>
<clbl:labelList xmlns:clbl="http://schemas.microsoft.com/office/2020/mipLabelMetadata">
  <clbl:label id="{553f0066-c24e-444c-9c2a-7427c31ebeab}" enabled="1" method="Standard" siteId="{e5aafe7c-971b-4ab7-b039-141ad36acec0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Fermenter and heat exchanger</vt:lpstr>
      <vt:lpstr>Pumps and pre-mixer</vt:lpstr>
      <vt:lpstr>cap cost</vt:lpstr>
      <vt:lpstr>total Costs</vt:lpstr>
      <vt:lpstr>NPV vs VFA price</vt:lpstr>
      <vt:lpstr>Flowrate recirc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 Ramos Suarez</dc:creator>
  <cp:lastModifiedBy>oxyhywater@outlook.com</cp:lastModifiedBy>
  <dcterms:created xsi:type="dcterms:W3CDTF">2015-06-05T18:17:20Z</dcterms:created>
  <dcterms:modified xsi:type="dcterms:W3CDTF">2023-02-08T11:54:05Z</dcterms:modified>
</cp:coreProperties>
</file>